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 Partnership\# EAST\OEDPF_formerly ELF\OED Partnership Board\OED Executive Board Meeting 05.08.26\Papers\"/>
    </mc:Choice>
  </mc:AlternateContent>
  <xr:revisionPtr revIDLastSave="0" documentId="8_{D635C2F2-6CAC-4FA8-A9FF-C1CD806C469C}" xr6:coauthVersionLast="47" xr6:coauthVersionMax="47" xr10:uidLastSave="{00000000-0000-0000-0000-000000000000}"/>
  <bookViews>
    <workbookView xWindow="-110" yWindow="-110" windowWidth="19420" windowHeight="10300" tabRatio="688" xr2:uid="{6CDEEBAC-E1F5-4219-B49A-A0C513F188B5}"/>
  </bookViews>
  <sheets>
    <sheet name="OED Board Report Tables 26-27" sheetId="22" r:id="rId1"/>
    <sheet name="OED budget 2026-27" sheetId="18" r:id="rId2"/>
    <sheet name="OED Ledger Posted " sheetId="23" r:id="rId3"/>
    <sheet name="OED Ledger Registered " sheetId="28" r:id="rId4"/>
    <sheet name="OED Lists " sheetId="24" r:id="rId5"/>
    <sheet name="Pay costs" sheetId="35" r:id="rId6"/>
  </sheets>
  <definedNames>
    <definedName name="_xlnm._FilterDatabase" localSheetId="1" hidden="1">'OED budget 2026-27'!$A$2:$N$71</definedName>
    <definedName name="_xlnm._FilterDatabase" localSheetId="2" hidden="1">'OED Ledger Posted '!$A$1:$V$52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2" l="1"/>
  <c r="D23" i="22"/>
  <c r="G23" i="22"/>
  <c r="C23" i="22"/>
  <c r="G22" i="22"/>
  <c r="G21" i="22"/>
  <c r="D21" i="22"/>
  <c r="D22" i="22"/>
  <c r="C22" i="22"/>
  <c r="C21" i="22"/>
  <c r="C32" i="22"/>
  <c r="D32" i="22"/>
  <c r="C33" i="22"/>
  <c r="D33" i="22"/>
  <c r="C34" i="22"/>
  <c r="D34" i="22"/>
  <c r="C35" i="22"/>
  <c r="D35" i="22"/>
  <c r="C36" i="22"/>
  <c r="G36" i="22" s="1"/>
  <c r="D36" i="22"/>
  <c r="C37" i="22"/>
  <c r="D37" i="22"/>
  <c r="D31" i="22"/>
  <c r="C31" i="22"/>
  <c r="G31" i="22" s="1"/>
  <c r="C28" i="22"/>
  <c r="D28" i="22"/>
  <c r="G37" i="22"/>
  <c r="G35" i="22"/>
  <c r="G34" i="22"/>
  <c r="G33" i="22"/>
  <c r="G32" i="22"/>
  <c r="G28" i="22"/>
  <c r="G27" i="22"/>
  <c r="D27" i="22"/>
  <c r="C27" i="22"/>
  <c r="D13" i="22"/>
  <c r="C12" i="22"/>
  <c r="D12" i="22"/>
  <c r="D7" i="22"/>
  <c r="D8" i="22"/>
  <c r="C8" i="22"/>
  <c r="C7" i="22"/>
  <c r="F16" i="18" l="1"/>
  <c r="G16" i="18"/>
  <c r="E37" i="22" s="1"/>
  <c r="F37" i="22" s="1"/>
  <c r="E15" i="18"/>
  <c r="J16" i="18" l="1"/>
  <c r="G14" i="18"/>
  <c r="F14" i="18"/>
  <c r="H14" i="18" l="1"/>
  <c r="J14" i="18" s="1"/>
  <c r="F13" i="18"/>
  <c r="G13" i="18"/>
  <c r="E35" i="22" l="1"/>
  <c r="F35" i="22" s="1"/>
  <c r="H13" i="18"/>
  <c r="E34" i="22" s="1"/>
  <c r="F34" i="22" s="1"/>
  <c r="G19" i="18"/>
  <c r="F19" i="18"/>
  <c r="G18" i="18"/>
  <c r="F18" i="18"/>
  <c r="G17" i="18"/>
  <c r="F17" i="18"/>
  <c r="G15" i="18"/>
  <c r="F15" i="18"/>
  <c r="I20" i="18"/>
  <c r="D20" i="18"/>
  <c r="E20" i="18"/>
  <c r="F11" i="18"/>
  <c r="G11" i="18"/>
  <c r="F12" i="18"/>
  <c r="G12" i="18"/>
  <c r="H11" i="18" l="1"/>
  <c r="J11" i="18" s="1"/>
  <c r="H15" i="18"/>
  <c r="E36" i="22" s="1"/>
  <c r="F36" i="22" s="1"/>
  <c r="H17" i="18"/>
  <c r="J17" i="18" s="1"/>
  <c r="H12" i="18"/>
  <c r="J12" i="18" s="1"/>
  <c r="H18" i="18"/>
  <c r="J18" i="18" s="1"/>
  <c r="H19" i="18"/>
  <c r="J19" i="18" s="1"/>
  <c r="D8" i="18"/>
  <c r="G10" i="18"/>
  <c r="G25" i="18" l="1"/>
  <c r="E32" i="22"/>
  <c r="F32" i="22" s="1"/>
  <c r="E33" i="22"/>
  <c r="F33" i="22" s="1"/>
  <c r="G20" i="18"/>
  <c r="D21" i="18"/>
  <c r="D27" i="18"/>
  <c r="D28" i="18" l="1"/>
  <c r="D34" i="18" s="1"/>
  <c r="C4" i="35" l="1"/>
  <c r="C5" i="35"/>
  <c r="C6" i="35"/>
  <c r="C7" i="35"/>
  <c r="C8" i="35"/>
  <c r="C9" i="35"/>
  <c r="C10" i="35"/>
  <c r="C11" i="35"/>
  <c r="C12" i="35"/>
  <c r="C13" i="35"/>
  <c r="C3" i="35"/>
  <c r="F9" i="35" l="1"/>
  <c r="F13" i="35" l="1"/>
  <c r="G13" i="35" s="1"/>
  <c r="F12" i="35"/>
  <c r="G12" i="35" s="1"/>
  <c r="F11" i="35"/>
  <c r="G11" i="35" s="1"/>
  <c r="F10" i="35"/>
  <c r="G10" i="35" s="1"/>
  <c r="G9" i="35"/>
  <c r="F8" i="35"/>
  <c r="G8" i="35" s="1"/>
  <c r="F7" i="35"/>
  <c r="G7" i="35" s="1"/>
  <c r="F6" i="35"/>
  <c r="G6" i="35" s="1"/>
  <c r="F5" i="35"/>
  <c r="G5" i="35" s="1"/>
  <c r="F4" i="35"/>
  <c r="G4" i="35" s="1"/>
  <c r="F3" i="35"/>
  <c r="G3" i="35" s="1"/>
  <c r="G7" i="18" l="1"/>
  <c r="G6" i="18"/>
  <c r="G5" i="18"/>
  <c r="G4" i="18"/>
  <c r="F7" i="18" l="1"/>
  <c r="H7" i="18" s="1"/>
  <c r="F5" i="18"/>
  <c r="H5" i="18" s="1"/>
  <c r="E28" i="22" s="1"/>
  <c r="F28" i="22" s="1"/>
  <c r="F6" i="18"/>
  <c r="H6" i="18" s="1"/>
  <c r="F4" i="18"/>
  <c r="H4" i="18" s="1"/>
  <c r="E27" i="22" s="1"/>
  <c r="F27" i="22" l="1"/>
  <c r="J6" i="18"/>
  <c r="J29" i="18"/>
  <c r="J15" i="18"/>
  <c r="J7" i="18"/>
  <c r="J4" i="18"/>
  <c r="I8" i="18"/>
  <c r="J5" i="18" l="1"/>
  <c r="I21" i="18"/>
  <c r="G8" i="18" l="1"/>
  <c r="E12" i="22" s="1"/>
  <c r="H8" i="18"/>
  <c r="E8" i="18"/>
  <c r="C13" i="22" l="1"/>
  <c r="G13" i="22" s="1"/>
  <c r="F10" i="18" l="1"/>
  <c r="H10" i="18" l="1"/>
  <c r="E31" i="22" s="1"/>
  <c r="F20" i="18"/>
  <c r="J8" i="18"/>
  <c r="F8" i="18"/>
  <c r="G8" i="22"/>
  <c r="G7" i="22"/>
  <c r="B41" i="22"/>
  <c r="B39" i="22"/>
  <c r="B25" i="22"/>
  <c r="B23" i="22"/>
  <c r="B20" i="22"/>
  <c r="G19" i="22"/>
  <c r="D19" i="22"/>
  <c r="C19" i="22"/>
  <c r="B19" i="22"/>
  <c r="F31" i="22" l="1"/>
  <c r="F39" i="22" s="1"/>
  <c r="E39" i="22"/>
  <c r="H20" i="18"/>
  <c r="E13" i="22" s="1"/>
  <c r="J10" i="18"/>
  <c r="J20" i="18" s="1"/>
  <c r="F12" i="22"/>
  <c r="E21" i="18"/>
  <c r="D39" i="22"/>
  <c r="C39" i="22"/>
  <c r="G39" i="22"/>
  <c r="C9" i="22"/>
  <c r="C43" i="22" s="1"/>
  <c r="J21" i="18" l="1"/>
  <c r="E14" i="22"/>
  <c r="C14" i="22"/>
  <c r="C44" i="22" s="1"/>
  <c r="G12" i="22"/>
  <c r="G14" i="22" s="1"/>
  <c r="G44" i="22" s="1"/>
  <c r="C41" i="22"/>
  <c r="C16" i="22" l="1"/>
  <c r="C45" i="22" s="1"/>
  <c r="D14" i="22"/>
  <c r="D44" i="22" s="1"/>
  <c r="F13" i="22"/>
  <c r="F14" i="22" s="1"/>
  <c r="D9" i="22" l="1"/>
  <c r="D16" i="22" l="1"/>
  <c r="G9" i="22"/>
  <c r="F91" i="18"/>
  <c r="G16" i="22" l="1"/>
  <c r="D43" i="22"/>
  <c r="D41" i="22"/>
  <c r="D45" i="22" s="1"/>
  <c r="H21" i="18"/>
  <c r="G21" i="18"/>
  <c r="C47" i="22"/>
  <c r="E27" i="18"/>
  <c r="C50" i="22" s="1"/>
  <c r="C51" i="22" s="1"/>
  <c r="G43" i="22" l="1"/>
  <c r="G41" i="22"/>
  <c r="G45" i="22" s="1"/>
  <c r="F21" i="18"/>
  <c r="E28" i="18"/>
  <c r="D47" i="22" l="1"/>
  <c r="D48" i="22" s="1"/>
  <c r="J30" i="18" l="1"/>
  <c r="E34" i="18"/>
  <c r="H26" i="18" l="1"/>
  <c r="H25" i="18"/>
  <c r="E7" i="22" s="1"/>
  <c r="E40" i="18"/>
  <c r="I25" i="18"/>
  <c r="E42" i="18"/>
  <c r="D42" i="18"/>
  <c r="D40" i="18"/>
  <c r="I26" i="18"/>
  <c r="F26" i="18"/>
  <c r="F25" i="18"/>
  <c r="E41" i="18"/>
  <c r="E75" i="18" s="1"/>
  <c r="D41" i="18"/>
  <c r="D75" i="18" s="1"/>
  <c r="I24" i="18"/>
  <c r="I27" i="18" s="1"/>
  <c r="I28" i="18" s="1"/>
  <c r="I34" i="18" s="1"/>
  <c r="H24" i="18"/>
  <c r="G24" i="18"/>
  <c r="E8" i="22" s="1"/>
  <c r="E22" i="22" s="1"/>
  <c r="F22" i="22" s="1"/>
  <c r="G26" i="18"/>
  <c r="F24" i="18"/>
  <c r="E21" i="22" l="1"/>
  <c r="E9" i="22"/>
  <c r="E16" i="22" s="1"/>
  <c r="F7" i="22"/>
  <c r="J25" i="18"/>
  <c r="H27" i="18"/>
  <c r="H28" i="18" s="1"/>
  <c r="H34" i="18" s="1"/>
  <c r="G27" i="18"/>
  <c r="G28" i="18" s="1"/>
  <c r="G34" i="18" s="1"/>
  <c r="J26" i="18"/>
  <c r="J24" i="18"/>
  <c r="F8" i="22"/>
  <c r="F9" i="22" s="1"/>
  <c r="F16" i="22" s="1"/>
  <c r="F27" i="18"/>
  <c r="J27" i="18" l="1"/>
  <c r="J28" i="18" s="1"/>
  <c r="J34" i="18" s="1"/>
  <c r="F21" i="22"/>
  <c r="F23" i="22" s="1"/>
  <c r="F41" i="22" s="1"/>
  <c r="E23" i="22"/>
  <c r="E41" i="22" s="1"/>
  <c r="F28" i="18"/>
  <c r="F34" i="18" s="1"/>
  <c r="D50" i="22"/>
  <c r="D51" i="22" s="1"/>
</calcChain>
</file>

<file path=xl/sharedStrings.xml><?xml version="1.0" encoding="utf-8"?>
<sst xmlns="http://schemas.openxmlformats.org/spreadsheetml/2006/main" count="362" uniqueCount="183">
  <si>
    <t xml:space="preserve">Project </t>
  </si>
  <si>
    <t>Income</t>
  </si>
  <si>
    <t>Board Report Tables</t>
  </si>
  <si>
    <t>Project/Scheme</t>
  </si>
  <si>
    <t>Budget</t>
  </si>
  <si>
    <t>Spend YTD</t>
  </si>
  <si>
    <t>Committed</t>
  </si>
  <si>
    <t>Total</t>
  </si>
  <si>
    <t>Forecast</t>
  </si>
  <si>
    <t>IIA opening Balance</t>
  </si>
  <si>
    <t>ICB</t>
  </si>
  <si>
    <t>TOTAL INCOME</t>
  </si>
  <si>
    <t>Costs</t>
  </si>
  <si>
    <t xml:space="preserve">Adult Mental Health </t>
  </si>
  <si>
    <t>Capacity/infrastructure</t>
  </si>
  <si>
    <t>Children and Young People’s Mental Health</t>
  </si>
  <si>
    <t>Health Ageing</t>
  </si>
  <si>
    <t>Inclusion Health/operational pressures</t>
  </si>
  <si>
    <t>Long Term Conditions</t>
  </si>
  <si>
    <t>Operational pressures/core20</t>
  </si>
  <si>
    <t>Reporting/ROI</t>
  </si>
  <si>
    <t>Social Health/isolated groups/community capacity</t>
  </si>
  <si>
    <t>Wider determinants of health</t>
  </si>
  <si>
    <t>Other</t>
  </si>
  <si>
    <t>Committed from prior year</t>
  </si>
  <si>
    <t>TOTAL SPEND</t>
  </si>
  <si>
    <t>BALANCE</t>
  </si>
  <si>
    <t>Trainee Counsellor Placements and Peer Support Development</t>
  </si>
  <si>
    <t>VCSE Coordinator</t>
  </si>
  <si>
    <t>VCSE Backfill Fund</t>
  </si>
  <si>
    <t>Capacity investment</t>
  </si>
  <si>
    <t>Personal Wellbeing Service Cranbrook</t>
  </si>
  <si>
    <t>The Attendance and Wellbeing Project</t>
  </si>
  <si>
    <t>East Devon Dementia Partnership Officer</t>
  </si>
  <si>
    <t>Community Flow</t>
  </si>
  <si>
    <t>HIU ED Service</t>
  </si>
  <si>
    <t>Nexus PCN HIU in primary care</t>
  </si>
  <si>
    <t>Social Prescriber in ED - Continuation of Pilot</t>
  </si>
  <si>
    <t>Evaluation/impact reporting</t>
  </si>
  <si>
    <t>Enabling Local Voice in the Health System</t>
  </si>
  <si>
    <t>Tackling health inequalities through targeted advice</t>
  </si>
  <si>
    <t>Total Spend</t>
  </si>
  <si>
    <t>Difference</t>
  </si>
  <si>
    <t>Total Income</t>
  </si>
  <si>
    <t>Izzy</t>
  </si>
  <si>
    <t>Lead Organisation</t>
  </si>
  <si>
    <t>Funding Source</t>
  </si>
  <si>
    <t>Ledger Spend - Invoiced and Paid</t>
  </si>
  <si>
    <t>Ledger Spend - Registered Invoice (not paid)</t>
  </si>
  <si>
    <t>Ledger Spend - Ordered PO approved</t>
  </si>
  <si>
    <t>Committed (Known) not yet a PO</t>
  </si>
  <si>
    <t>Remaining</t>
  </si>
  <si>
    <t>Supplier ID</t>
  </si>
  <si>
    <t xml:space="preserve">PO number </t>
  </si>
  <si>
    <t>Notes</t>
  </si>
  <si>
    <t>ICB 25-26</t>
  </si>
  <si>
    <t>RDUH/OED**</t>
  </si>
  <si>
    <t>The Attendance and Wellbeing Project DCC</t>
  </si>
  <si>
    <t>DCC</t>
  </si>
  <si>
    <t>Peer Support Okehampton Area</t>
  </si>
  <si>
    <t>ICB 24-25</t>
  </si>
  <si>
    <t>Evaluation of befriending services</t>
  </si>
  <si>
    <t>Enabling Local Voice in the Health System DCC</t>
  </si>
  <si>
    <t>One Eastern Devon website</t>
  </si>
  <si>
    <t>Flip Charts</t>
  </si>
  <si>
    <t>NORTH EAST DARTMOOR HEALTH AND WELLBEING ALLIANCE</t>
  </si>
  <si>
    <t>SOUTH WEST PENINSULA AHSN, ROOM HIRE</t>
  </si>
  <si>
    <t>Board Room Booking</t>
  </si>
  <si>
    <t>Unallocated</t>
  </si>
  <si>
    <t>Community Health and Wellbeing Alliances</t>
  </si>
  <si>
    <t>STRONGER THINGS 2025 ONLINE</t>
  </si>
  <si>
    <t>Room Hire</t>
  </si>
  <si>
    <t>Grand Total</t>
  </si>
  <si>
    <t>Income Budget</t>
  </si>
  <si>
    <t>ICB Income</t>
  </si>
  <si>
    <t>B/F 24/25</t>
  </si>
  <si>
    <t>Budgetary Surplus</t>
  </si>
  <si>
    <t>Other Discretionary Spend &amp; Income</t>
  </si>
  <si>
    <t>Contingency allowance</t>
  </si>
  <si>
    <t>Balanced Budget</t>
  </si>
  <si>
    <t>Total budget</t>
  </si>
  <si>
    <t>High Flow</t>
  </si>
  <si>
    <t xml:space="preserve">Community Flow </t>
  </si>
  <si>
    <t>Hospital discharge support</t>
  </si>
  <si>
    <t>Schools Mental Health Provision</t>
  </si>
  <si>
    <t>Primary Care Outreach</t>
  </si>
  <si>
    <t>Closing the Gap Partnership Transformation Fund</t>
  </si>
  <si>
    <t>Schools mental health provision &amp; expansion</t>
  </si>
  <si>
    <t>Primary care outreach &amp; expansion</t>
  </si>
  <si>
    <t>Leg Flow Up to 12 months provision (as needed)</t>
  </si>
  <si>
    <t> </t>
  </si>
  <si>
    <t>Closing the Gap partner transformation fund</t>
  </si>
  <si>
    <t>LTC prevention using targeted community provision</t>
  </si>
  <si>
    <t>UPDATED FIGURES</t>
  </si>
  <si>
    <t>Costcuk</t>
  </si>
  <si>
    <t>Costcuk (T)</t>
  </si>
  <si>
    <t>Account</t>
  </si>
  <si>
    <t>Account (T)</t>
  </si>
  <si>
    <t>Transaction type</t>
  </si>
  <si>
    <t>Transaction type (T)</t>
  </si>
  <si>
    <t>Transaction number</t>
  </si>
  <si>
    <t>Order number</t>
  </si>
  <si>
    <t>Supplier ID (T)</t>
  </si>
  <si>
    <t>Customer ID</t>
  </si>
  <si>
    <t>Customer ID (T)</t>
  </si>
  <si>
    <t>Nhsorg</t>
  </si>
  <si>
    <t>Transaction Date</t>
  </si>
  <si>
    <t>Period</t>
  </si>
  <si>
    <t>Description</t>
  </si>
  <si>
    <t>Amount</t>
  </si>
  <si>
    <t>Drop Down</t>
  </si>
  <si>
    <t>Workflow user step</t>
  </si>
  <si>
    <t>Dim 5</t>
  </si>
  <si>
    <t>Dim 5 (T)</t>
  </si>
  <si>
    <t>Social Prescribing</t>
  </si>
  <si>
    <t>Operational pressures/core21</t>
  </si>
  <si>
    <t>Operational pressures/core22</t>
  </si>
  <si>
    <t>Capacity investment/top slicing</t>
  </si>
  <si>
    <t>ACCRUAL</t>
  </si>
  <si>
    <t>25/26 inc Pay award</t>
  </si>
  <si>
    <t>Months</t>
  </si>
  <si>
    <t>WTE</t>
  </si>
  <si>
    <t>Cost</t>
  </si>
  <si>
    <t xml:space="preserve">Monthly </t>
  </si>
  <si>
    <t>3508 - A&amp;C Band 9</t>
  </si>
  <si>
    <t>3566 - A&amp;C Band 8 - D</t>
  </si>
  <si>
    <t>3565 - A&amp;C Band 8 - C</t>
  </si>
  <si>
    <t>3564 - A&amp;C Band 8 - B</t>
  </si>
  <si>
    <t>3507 - A&amp;C Band 8 - A</t>
  </si>
  <si>
    <t>3506 - A&amp;C Band 7</t>
  </si>
  <si>
    <t>3505 - A&amp;C Band 6</t>
  </si>
  <si>
    <t>3504 - A&amp;C Band 5</t>
  </si>
  <si>
    <t>3503 - A&amp;C Band 4</t>
  </si>
  <si>
    <t>3502 - A&amp;C Band 3</t>
  </si>
  <si>
    <t>3501 - A&amp;C Band 2</t>
  </si>
  <si>
    <t>CF 25/26</t>
  </si>
  <si>
    <t>BF 25/26</t>
  </si>
  <si>
    <t>ICB 26-27</t>
  </si>
  <si>
    <t>Original Proposed Budget 2026/27</t>
  </si>
  <si>
    <t>Revised Budget 2026/27</t>
  </si>
  <si>
    <t>Supplier ID Name</t>
  </si>
  <si>
    <t>Community Flow Extention</t>
  </si>
  <si>
    <t>Encompass</t>
  </si>
  <si>
    <t>VCSE Extension</t>
  </si>
  <si>
    <t>Ottery Help Scheme</t>
  </si>
  <si>
    <t>107300</t>
  </si>
  <si>
    <t>South West Peninsula AHSN Ltd T/A Health Innovation South West</t>
  </si>
  <si>
    <t>Exmouth Town Council</t>
  </si>
  <si>
    <t>4026</t>
  </si>
  <si>
    <t>Services Received - Non-NHS</t>
  </si>
  <si>
    <t>Manual Invoice Matching</t>
  </si>
  <si>
    <t>105797</t>
  </si>
  <si>
    <t/>
  </si>
  <si>
    <t>0TTERY HELP SCHEME DISTRIBUTE FUNDS TO OTHER CHARITIES FOR THEIR MEMBERS TO RECEIVE TRAVEL FUNDS FOR ATTENDING MEETINGS WITHIN EASTERN DEVON. THESE ARE ICB FUNDS.</t>
  </si>
  <si>
    <t>114893</t>
  </si>
  <si>
    <t>MEETING ROOM AND  ADMINISTRATIVE SUPPORT FOR MEETINGS THROUGHOUT THE YEAR.</t>
  </si>
  <si>
    <t>50502</t>
  </si>
  <si>
    <t>One Eastern Devon</t>
  </si>
  <si>
    <t>4756</t>
  </si>
  <si>
    <t>Course accreditation costs</t>
  </si>
  <si>
    <t>2</t>
  </si>
  <si>
    <t>General Ledger Transactions</t>
  </si>
  <si>
    <t>2100617926 How Places Work Ltd Recoverable - COS 65</t>
  </si>
  <si>
    <t>4800</t>
  </si>
  <si>
    <t>Property Lease Expenditure</t>
  </si>
  <si>
    <t>2100614629 South West Peninsula AHSN Ltd T/A Health Innovation South West Recoverable - COS 15</t>
  </si>
  <si>
    <t>109309</t>
  </si>
  <si>
    <t>How Places Work Ltd</t>
  </si>
  <si>
    <t>VAT Refund</t>
  </si>
  <si>
    <t>109699</t>
  </si>
  <si>
    <t>Encompass Southwest</t>
  </si>
  <si>
    <t>COMMUNITY FLOW EASTERN DEVON - TO PROVIDE TWO ADDITIONAL WORKERS TO COVER THE EXETER AND TIVERTON COMMUNITY TEAMS</t>
  </si>
  <si>
    <t>SB Exmouth Health &amp; Wellbeing alliance</t>
  </si>
  <si>
    <t>HIU Flow</t>
  </si>
  <si>
    <t>Neighbourhood Flow</t>
  </si>
  <si>
    <t>Previously known as community flow awaiting confirmation of funding</t>
  </si>
  <si>
    <t>26/27 ICB Funded projects</t>
  </si>
  <si>
    <t>to be paid quarterly</t>
  </si>
  <si>
    <t>12</t>
  </si>
  <si>
    <t>Posting of Incoming Invoices</t>
  </si>
  <si>
    <t>8</t>
  </si>
  <si>
    <t>Registration of Incoming Invoice</t>
  </si>
  <si>
    <t>One Eastern Devon Board Report Tables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</si>
</sst>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"/>
    <numFmt numFmtId="166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2"/>
      <color rgb="FF0000FF"/>
      <name val="Arial"/>
      <family val="2"/>
    </font>
    <font>
      <b/>
      <sz val="10"/>
      <color rgb="FFFF0000"/>
      <name val="Arial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25">
    <xf numFmtId="0" fontId="0" fillId="0" borderId="0" xfId="0"/>
    <xf numFmtId="164" fontId="0" fillId="0" borderId="0" xfId="0" applyNumberFormat="1"/>
    <xf numFmtId="6" fontId="0" fillId="0" borderId="0" xfId="0" applyNumberFormat="1"/>
    <xf numFmtId="0" fontId="1" fillId="0" borderId="3" xfId="0" applyFont="1" applyBorder="1"/>
    <xf numFmtId="0" fontId="0" fillId="0" borderId="3" xfId="0" applyBorder="1"/>
    <xf numFmtId="164" fontId="0" fillId="0" borderId="3" xfId="0" applyNumberFormat="1" applyBorder="1"/>
    <xf numFmtId="0" fontId="1" fillId="7" borderId="3" xfId="0" applyFont="1" applyFill="1" applyBorder="1"/>
    <xf numFmtId="6" fontId="0" fillId="7" borderId="3" xfId="0" applyNumberFormat="1" applyFill="1" applyBorder="1"/>
    <xf numFmtId="164" fontId="0" fillId="7" borderId="3" xfId="0" applyNumberFormat="1" applyFill="1" applyBorder="1"/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right"/>
    </xf>
    <xf numFmtId="165" fontId="0" fillId="0" borderId="3" xfId="0" applyNumberFormat="1" applyBorder="1"/>
    <xf numFmtId="165" fontId="0" fillId="0" borderId="0" xfId="0" applyNumberFormat="1"/>
    <xf numFmtId="6" fontId="1" fillId="0" borderId="3" xfId="0" applyNumberFormat="1" applyFont="1" applyBorder="1" applyAlignment="1">
      <alignment horizontal="right"/>
    </xf>
    <xf numFmtId="14" fontId="0" fillId="0" borderId="0" xfId="0" applyNumberFormat="1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8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5" borderId="0" xfId="0" applyFill="1" applyAlignment="1">
      <alignment vertical="top"/>
    </xf>
    <xf numFmtId="164" fontId="0" fillId="0" borderId="0" xfId="0" applyNumberFormat="1" applyAlignment="1">
      <alignment vertical="top"/>
    </xf>
    <xf numFmtId="0" fontId="8" fillId="8" borderId="4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165" fontId="12" fillId="0" borderId="3" xfId="0" applyNumberFormat="1" applyFont="1" applyBorder="1"/>
    <xf numFmtId="165" fontId="11" fillId="0" borderId="3" xfId="0" applyNumberFormat="1" applyFont="1" applyBorder="1"/>
    <xf numFmtId="165" fontId="12" fillId="0" borderId="0" xfId="0" applyNumberFormat="1" applyFont="1"/>
    <xf numFmtId="0" fontId="14" fillId="0" borderId="0" xfId="0" applyFont="1"/>
    <xf numFmtId="49" fontId="2" fillId="9" borderId="0" xfId="0" applyNumberFormat="1" applyFont="1" applyFill="1" applyAlignment="1">
      <alignment horizontal="left"/>
    </xf>
    <xf numFmtId="0" fontId="0" fillId="9" borderId="0" xfId="0" applyFill="1"/>
    <xf numFmtId="0" fontId="12" fillId="0" borderId="0" xfId="0" applyFont="1"/>
    <xf numFmtId="164" fontId="0" fillId="0" borderId="3" xfId="0" applyNumberFormat="1" applyBorder="1" applyAlignment="1">
      <alignment horizontal="right" vertical="top"/>
    </xf>
    <xf numFmtId="164" fontId="12" fillId="0" borderId="2" xfId="0" applyNumberFormat="1" applyFon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0" fontId="0" fillId="0" borderId="3" xfId="0" applyBorder="1" applyAlignment="1">
      <alignment vertical="top"/>
    </xf>
    <xf numFmtId="8" fontId="0" fillId="0" borderId="3" xfId="0" applyNumberFormat="1" applyBorder="1" applyAlignment="1">
      <alignment vertical="top"/>
    </xf>
    <xf numFmtId="0" fontId="9" fillId="0" borderId="2" xfId="0" applyFont="1" applyBorder="1" applyAlignment="1">
      <alignment vertical="top"/>
    </xf>
    <xf numFmtId="6" fontId="9" fillId="0" borderId="2" xfId="0" applyNumberFormat="1" applyFont="1" applyBorder="1" applyAlignment="1">
      <alignment vertical="top"/>
    </xf>
    <xf numFmtId="3" fontId="9" fillId="0" borderId="2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3" borderId="3" xfId="0" applyFill="1" applyBorder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8" fontId="0" fillId="0" borderId="0" xfId="0" applyNumberFormat="1"/>
    <xf numFmtId="8" fontId="12" fillId="0" borderId="0" xfId="0" applyNumberFormat="1" applyFont="1"/>
    <xf numFmtId="0" fontId="0" fillId="0" borderId="2" xfId="0" applyBorder="1" applyAlignment="1">
      <alignment vertical="top"/>
    </xf>
    <xf numFmtId="0" fontId="0" fillId="6" borderId="0" xfId="0" applyFill="1" applyAlignment="1">
      <alignment vertical="top"/>
    </xf>
    <xf numFmtId="164" fontId="11" fillId="0" borderId="2" xfId="0" applyNumberFormat="1" applyFont="1" applyBorder="1" applyAlignment="1">
      <alignment horizontal="right" vertical="top"/>
    </xf>
    <xf numFmtId="164" fontId="2" fillId="4" borderId="2" xfId="0" applyNumberFormat="1" applyFont="1" applyFill="1" applyBorder="1" applyAlignment="1">
      <alignment horizontal="right" vertical="top" wrapText="1"/>
    </xf>
    <xf numFmtId="0" fontId="15" fillId="10" borderId="0" xfId="0" applyFont="1" applyFill="1"/>
    <xf numFmtId="0" fontId="4" fillId="0" borderId="0" xfId="0" applyFont="1"/>
    <xf numFmtId="14" fontId="4" fillId="0" borderId="0" xfId="0" applyNumberFormat="1" applyFont="1"/>
    <xf numFmtId="0" fontId="9" fillId="0" borderId="0" xfId="0" applyFont="1" applyAlignment="1">
      <alignment vertical="top"/>
    </xf>
    <xf numFmtId="0" fontId="0" fillId="3" borderId="0" xfId="0" applyFill="1" applyAlignment="1">
      <alignment vertical="top"/>
    </xf>
    <xf numFmtId="0" fontId="0" fillId="0" borderId="0" xfId="0" applyAlignment="1">
      <alignment wrapText="1"/>
    </xf>
    <xf numFmtId="0" fontId="0" fillId="6" borderId="0" xfId="0" applyFill="1"/>
    <xf numFmtId="0" fontId="2" fillId="4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/>
    </xf>
    <xf numFmtId="1" fontId="0" fillId="0" borderId="0" xfId="0" applyNumberFormat="1"/>
    <xf numFmtId="1" fontId="18" fillId="0" borderId="0" xfId="0" applyNumberFormat="1" applyFont="1"/>
    <xf numFmtId="166" fontId="18" fillId="0" borderId="0" xfId="0" applyNumberFormat="1" applyFont="1"/>
    <xf numFmtId="2" fontId="0" fillId="6" borderId="0" xfId="0" applyNumberFormat="1" applyFill="1"/>
    <xf numFmtId="49" fontId="7" fillId="0" borderId="0" xfId="2" applyNumberFormat="1" applyAlignment="1">
      <alignment horizontal="left"/>
    </xf>
    <xf numFmtId="1" fontId="7" fillId="0" borderId="0" xfId="2" applyNumberFormat="1" applyAlignment="1">
      <alignment horizontal="left"/>
    </xf>
    <xf numFmtId="14" fontId="7" fillId="0" borderId="0" xfId="2" applyNumberFormat="1"/>
    <xf numFmtId="10" fontId="0" fillId="0" borderId="0" xfId="0" applyNumberFormat="1"/>
    <xf numFmtId="164" fontId="0" fillId="0" borderId="0" xfId="0" applyNumberFormat="1" applyAlignment="1">
      <alignment horizontal="right" vertical="top"/>
    </xf>
    <xf numFmtId="164" fontId="0" fillId="0" borderId="2" xfId="0" applyNumberFormat="1" applyBorder="1" applyAlignment="1">
      <alignment vertical="top"/>
    </xf>
    <xf numFmtId="0" fontId="13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164" fontId="5" fillId="0" borderId="2" xfId="0" applyNumberFormat="1" applyFont="1" applyBorder="1" applyAlignment="1">
      <alignment vertical="top" wrapText="1"/>
    </xf>
    <xf numFmtId="4" fontId="0" fillId="0" borderId="2" xfId="0" applyNumberFormat="1" applyBorder="1" applyAlignment="1">
      <alignment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6" fontId="0" fillId="0" borderId="0" xfId="0" applyNumberFormat="1" applyAlignment="1">
      <alignment vertical="top"/>
    </xf>
    <xf numFmtId="3" fontId="1" fillId="0" borderId="0" xfId="0" applyNumberFormat="1" applyFont="1" applyAlignment="1">
      <alignment vertical="top"/>
    </xf>
    <xf numFmtId="0" fontId="1" fillId="13" borderId="2" xfId="0" applyFont="1" applyFill="1" applyBorder="1" applyAlignment="1">
      <alignment vertical="top"/>
    </xf>
    <xf numFmtId="164" fontId="0" fillId="13" borderId="2" xfId="0" applyNumberFormat="1" applyFill="1" applyBorder="1" applyAlignment="1">
      <alignment horizontal="right" vertical="top"/>
    </xf>
    <xf numFmtId="164" fontId="12" fillId="13" borderId="2" xfId="0" applyNumberFormat="1" applyFont="1" applyFill="1" applyBorder="1" applyAlignment="1">
      <alignment horizontal="right" vertical="top"/>
    </xf>
    <xf numFmtId="0" fontId="1" fillId="12" borderId="2" xfId="0" applyFont="1" applyFill="1" applyBorder="1" applyAlignment="1">
      <alignment vertical="top"/>
    </xf>
    <xf numFmtId="164" fontId="1" fillId="12" borderId="2" xfId="0" applyNumberFormat="1" applyFont="1" applyFill="1" applyBorder="1" applyAlignment="1">
      <alignment horizontal="right" vertical="top"/>
    </xf>
    <xf numFmtId="0" fontId="0" fillId="12" borderId="2" xfId="0" applyFill="1" applyBorder="1" applyAlignment="1">
      <alignment vertical="top"/>
    </xf>
    <xf numFmtId="0" fontId="5" fillId="12" borderId="2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8" fontId="5" fillId="0" borderId="2" xfId="0" applyNumberFormat="1" applyFont="1" applyBorder="1" applyAlignment="1">
      <alignment vertical="top"/>
    </xf>
    <xf numFmtId="0" fontId="17" fillId="2" borderId="5" xfId="0" applyFont="1" applyFill="1" applyBorder="1" applyAlignment="1">
      <alignment vertical="top"/>
    </xf>
    <xf numFmtId="0" fontId="19" fillId="4" borderId="5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/>
    </xf>
    <xf numFmtId="0" fontId="17" fillId="11" borderId="5" xfId="0" applyFont="1" applyFill="1" applyBorder="1" applyAlignment="1">
      <alignment vertical="top"/>
    </xf>
    <xf numFmtId="0" fontId="16" fillId="0" borderId="2" xfId="0" applyFont="1" applyBorder="1"/>
    <xf numFmtId="0" fontId="17" fillId="6" borderId="5" xfId="0" applyFont="1" applyFill="1" applyBorder="1" applyAlignment="1">
      <alignment vertical="top"/>
    </xf>
    <xf numFmtId="0" fontId="17" fillId="0" borderId="5" xfId="0" applyFont="1" applyBorder="1" applyAlignment="1">
      <alignment vertical="top"/>
    </xf>
    <xf numFmtId="0" fontId="0" fillId="12" borderId="5" xfId="0" applyFill="1" applyBorder="1" applyAlignment="1">
      <alignment vertical="top"/>
    </xf>
    <xf numFmtId="0" fontId="0" fillId="12" borderId="2" xfId="0" applyFill="1" applyBorder="1" applyAlignment="1">
      <alignment vertical="top" wrapText="1"/>
    </xf>
    <xf numFmtId="164" fontId="0" fillId="12" borderId="2" xfId="0" applyNumberFormat="1" applyFill="1" applyBorder="1" applyAlignment="1">
      <alignment horizontal="right" vertical="top"/>
    </xf>
    <xf numFmtId="164" fontId="12" fillId="12" borderId="2" xfId="0" applyNumberFormat="1" applyFont="1" applyFill="1" applyBorder="1" applyAlignment="1">
      <alignment horizontal="right" vertical="top"/>
    </xf>
    <xf numFmtId="164" fontId="0" fillId="12" borderId="2" xfId="0" applyNumberFormat="1" applyFill="1" applyBorder="1" applyAlignment="1">
      <alignment vertical="top"/>
    </xf>
    <xf numFmtId="0" fontId="0" fillId="0" borderId="5" xfId="0" applyBorder="1" applyAlignment="1">
      <alignment vertical="top"/>
    </xf>
    <xf numFmtId="164" fontId="0" fillId="0" borderId="6" xfId="0" applyNumberFormat="1" applyBorder="1" applyAlignment="1">
      <alignment horizontal="right" vertical="top"/>
    </xf>
    <xf numFmtId="164" fontId="0" fillId="0" borderId="5" xfId="0" applyNumberFormat="1" applyBorder="1" applyAlignment="1">
      <alignment vertical="top"/>
    </xf>
    <xf numFmtId="164" fontId="12" fillId="0" borderId="2" xfId="0" applyNumberFormat="1" applyFont="1" applyBorder="1" applyAlignment="1">
      <alignment vertical="top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horizontal="right" vertical="top"/>
    </xf>
    <xf numFmtId="164" fontId="12" fillId="12" borderId="2" xfId="0" applyNumberFormat="1" applyFont="1" applyFill="1" applyBorder="1" applyAlignment="1">
      <alignment vertical="top"/>
    </xf>
    <xf numFmtId="49" fontId="2" fillId="14" borderId="0" xfId="0" applyNumberFormat="1" applyFont="1" applyFill="1" applyAlignment="1">
      <alignment horizontal="left"/>
    </xf>
    <xf numFmtId="49" fontId="2" fillId="14" borderId="0" xfId="0" applyNumberFormat="1" applyFont="1" applyFill="1" applyAlignment="1">
      <alignment horizontal="right"/>
    </xf>
    <xf numFmtId="0" fontId="5" fillId="0" borderId="0" xfId="0" applyFont="1" applyAlignment="1">
      <alignment vertical="top"/>
    </xf>
    <xf numFmtId="0" fontId="0" fillId="12" borderId="0" xfId="0" applyFill="1" applyAlignment="1">
      <alignment vertical="top"/>
    </xf>
    <xf numFmtId="164" fontId="0" fillId="12" borderId="0" xfId="0" applyNumberFormat="1" applyFill="1" applyAlignment="1">
      <alignment vertical="top"/>
    </xf>
    <xf numFmtId="164" fontId="0" fillId="0" borderId="7" xfId="0" applyNumberFormat="1" applyBorder="1" applyAlignment="1">
      <alignment vertical="top"/>
    </xf>
    <xf numFmtId="164" fontId="13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vertical="center"/>
    </xf>
    <xf numFmtId="15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" fillId="15" borderId="3" xfId="0" applyFont="1" applyFill="1" applyBorder="1" applyAlignment="1">
      <alignment vertical="top"/>
    </xf>
    <xf numFmtId="164" fontId="0" fillId="15" borderId="3" xfId="0" applyNumberFormat="1" applyFill="1" applyBorder="1"/>
    <xf numFmtId="165" fontId="12" fillId="15" borderId="3" xfId="0" applyNumberFormat="1" applyFont="1" applyFill="1" applyBorder="1"/>
    <xf numFmtId="165" fontId="11" fillId="15" borderId="3" xfId="0" applyNumberFormat="1" applyFont="1" applyFill="1" applyBorder="1"/>
  </cellXfs>
  <cellStyles count="3">
    <cellStyle name="Normal" xfId="0" builtinId="0"/>
    <cellStyle name="Normal 2" xfId="1" xr:uid="{8194778B-6278-4460-8CD0-A04D852ABBE2}"/>
    <cellStyle name="Normal 3" xfId="2" xr:uid="{00000000-0005-0000-0000-000032000000}"/>
  </cellStyles>
  <dxfs count="16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  <color rgb="FFE6A3DF"/>
      <color rgb="FF9999FF"/>
      <color rgb="FF99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9F7375-B1B0-4ACC-8755-BD199E25951E}" name="Table1" displayName="Table1" ref="A2:N71" totalsRowShown="0" headerRowDxfId="15" dataDxfId="14">
  <autoFilter ref="A2:N71" xr:uid="{ED638AF2-5B3B-4BEF-8A93-CAD5FB2215D7}"/>
  <tableColumns count="14">
    <tableColumn id="1" xr3:uid="{802738B3-F869-4FF6-8A77-01B8E8965CA4}" name="Project " dataDxfId="13"/>
    <tableColumn id="2" xr3:uid="{B669BC46-FF89-4211-88EB-388CC260DB0A}" name="Lead Organisation" dataDxfId="12"/>
    <tableColumn id="3" xr3:uid="{783E297C-A03B-43FC-9FEE-A4B52832BA0D}" name="Funding Source" dataDxfId="11"/>
    <tableColumn id="14" xr3:uid="{A5E5D1BC-58EB-4E74-9B38-3F4D60EEA598}" name="Original Proposed Budget 2026/27" dataDxfId="10"/>
    <tableColumn id="4" xr3:uid="{CA095B20-BD03-487E-9B70-14FC6F6416A3}" name="Revised Budget 2026/27" dataDxfId="9"/>
    <tableColumn id="5" xr3:uid="{7870539D-A97A-4FF6-87EA-FFE39CB274D0}" name="Ledger Spend - Invoiced and Paid" dataDxfId="8"/>
    <tableColumn id="6" xr3:uid="{638D58E1-292F-4E6C-BDF3-F43F6264C61D}" name="Ledger Spend - Registered Invoice (not paid)" dataDxfId="7"/>
    <tableColumn id="7" xr3:uid="{62719C93-9614-4D91-9378-ED5409E6B1E2}" name="Ledger Spend - Ordered PO approved" dataDxfId="6"/>
    <tableColumn id="8" xr3:uid="{9B62257B-7F92-4BFC-A68F-DBC1EB48B0AB}" name="Committed (Known) not yet a PO" dataDxfId="5"/>
    <tableColumn id="9" xr3:uid="{CB25244C-3C8E-426E-8AE8-C6150980DFEC}" name="Remaining" dataDxfId="4"/>
    <tableColumn id="10" xr3:uid="{64D42F1C-FFBB-4E1E-BB85-FA1B60F0CA84}" name="Supplier ID" dataDxfId="3"/>
    <tableColumn id="11" xr3:uid="{B30159B2-756E-4A87-8622-30291AA5924C}" name="Supplier ID Name" dataDxfId="2"/>
    <tableColumn id="12" xr3:uid="{6CAA3D6B-9AB4-41DC-B1E9-8CD0F1C14250}" name="PO number " dataDxfId="1"/>
    <tableColumn id="13" xr3:uid="{A01A7137-6F51-4100-804A-932518E6E5B0}" name="No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96BF-B5C2-4772-8E46-3FA2AD74088E}">
  <sheetPr>
    <tabColor rgb="FF92D050"/>
  </sheetPr>
  <dimension ref="B1:R51"/>
  <sheetViews>
    <sheetView tabSelected="1" workbookViewId="0">
      <selection activeCell="O1" sqref="O1"/>
    </sheetView>
  </sheetViews>
  <sheetFormatPr defaultRowHeight="14.5" x14ac:dyDescent="0.35"/>
  <cols>
    <col min="2" max="2" width="32.7265625" customWidth="1"/>
    <col min="3" max="3" width="10.81640625" bestFit="1" customWidth="1"/>
    <col min="4" max="6" width="10.54296875" customWidth="1"/>
    <col min="7" max="7" width="9" bestFit="1" customWidth="1"/>
    <col min="9" max="9" width="14" customWidth="1"/>
    <col min="13" max="13" width="14.1796875" bestFit="1" customWidth="1"/>
    <col min="14" max="14" width="10.90625" customWidth="1"/>
  </cols>
  <sheetData>
    <row r="1" spans="2:18" ht="23.5" x14ac:dyDescent="0.55000000000000004">
      <c r="B1" s="28" t="s">
        <v>182</v>
      </c>
    </row>
    <row r="2" spans="2:18" x14ac:dyDescent="0.35">
      <c r="M2" s="119">
        <v>46239</v>
      </c>
      <c r="N2" s="119">
        <v>46407</v>
      </c>
    </row>
    <row r="3" spans="2:18" x14ac:dyDescent="0.35">
      <c r="B3" s="1" t="s">
        <v>2</v>
      </c>
      <c r="C3" s="1"/>
      <c r="D3" s="1"/>
      <c r="E3" s="1"/>
      <c r="F3" s="1"/>
      <c r="G3" s="1"/>
      <c r="M3" s="119">
        <v>46316</v>
      </c>
      <c r="N3" s="119">
        <v>46463</v>
      </c>
    </row>
    <row r="4" spans="2:18" x14ac:dyDescent="0.35">
      <c r="B4" s="1"/>
      <c r="C4" s="1"/>
      <c r="D4" s="1"/>
      <c r="E4" s="1"/>
      <c r="F4" s="1"/>
      <c r="G4" s="1"/>
      <c r="M4" s="119">
        <v>46351</v>
      </c>
      <c r="N4" s="119">
        <v>46498</v>
      </c>
    </row>
    <row r="5" spans="2:18" x14ac:dyDescent="0.35"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M5" s="118"/>
      <c r="N5" s="119">
        <v>46561</v>
      </c>
    </row>
    <row r="6" spans="2:18" x14ac:dyDescent="0.35">
      <c r="B6" s="9" t="s">
        <v>1</v>
      </c>
      <c r="C6" s="5"/>
      <c r="D6" s="5"/>
      <c r="E6" s="5"/>
      <c r="F6" s="5"/>
      <c r="G6" s="5"/>
      <c r="M6" s="120"/>
      <c r="N6" s="119">
        <v>46589</v>
      </c>
    </row>
    <row r="7" spans="2:18" x14ac:dyDescent="0.35">
      <c r="B7" s="5" t="s">
        <v>9</v>
      </c>
      <c r="C7" s="25">
        <f>+'OED budget 2026-27'!E25</f>
        <v>-63986</v>
      </c>
      <c r="D7" s="25">
        <f>+'OED budget 2026-27'!F25</f>
        <v>-23209.18</v>
      </c>
      <c r="E7" s="25">
        <f>+'OED budget 2026-27'!G25++'OED budget 2026-27'!H25+'OED budget 2026-27'!I25</f>
        <v>-1118.8199999999988</v>
      </c>
      <c r="F7" s="26">
        <f>+E7+D7</f>
        <v>-24328</v>
      </c>
      <c r="G7" s="25">
        <f>+C7</f>
        <v>-63986</v>
      </c>
      <c r="M7" s="120"/>
      <c r="N7" s="119">
        <v>46617</v>
      </c>
    </row>
    <row r="8" spans="2:18" x14ac:dyDescent="0.35">
      <c r="B8" s="5" t="s">
        <v>10</v>
      </c>
      <c r="C8" s="25">
        <f>+'OED budget 2026-27'!E24</f>
        <v>-154558</v>
      </c>
      <c r="D8" s="25">
        <f>+'OED budget 2026-27'!F24</f>
        <v>0</v>
      </c>
      <c r="E8" s="25">
        <f>+'OED budget 2026-27'!G24+'OED budget 2026-27'!H24+'OED budget 2026-27'!I24</f>
        <v>0</v>
      </c>
      <c r="F8" s="26">
        <f t="shared" ref="F8" si="0">+E8+D8</f>
        <v>0</v>
      </c>
      <c r="G8" s="25">
        <f t="shared" ref="G8" si="1">+C8</f>
        <v>-154558</v>
      </c>
      <c r="I8" s="12"/>
      <c r="N8" s="119">
        <v>46680</v>
      </c>
    </row>
    <row r="9" spans="2:18" x14ac:dyDescent="0.35">
      <c r="B9" s="9" t="s">
        <v>11</v>
      </c>
      <c r="C9" s="26">
        <f>SUM(C7:C8)</f>
        <v>-218544</v>
      </c>
      <c r="D9" s="26">
        <f>SUM(D7:D8)</f>
        <v>-23209.18</v>
      </c>
      <c r="E9" s="26">
        <f>SUM(E7:E8)</f>
        <v>-1118.8199999999988</v>
      </c>
      <c r="F9" s="26">
        <f>SUM(F7:F8)</f>
        <v>-24328</v>
      </c>
      <c r="G9" s="26">
        <f>SUM(G7:G8)</f>
        <v>-218544</v>
      </c>
      <c r="N9" s="119">
        <v>46708</v>
      </c>
    </row>
    <row r="10" spans="2:18" x14ac:dyDescent="0.35">
      <c r="B10" s="9"/>
      <c r="C10" s="26"/>
      <c r="D10" s="26"/>
      <c r="E10" s="26"/>
      <c r="F10" s="26"/>
      <c r="G10" s="26"/>
    </row>
    <row r="11" spans="2:18" x14ac:dyDescent="0.35">
      <c r="B11" s="9" t="s">
        <v>12</v>
      </c>
      <c r="C11" s="25"/>
      <c r="D11" s="25"/>
      <c r="E11" s="25"/>
      <c r="F11" s="26"/>
      <c r="G11" s="25"/>
    </row>
    <row r="12" spans="2:18" x14ac:dyDescent="0.35">
      <c r="B12" s="5" t="s">
        <v>176</v>
      </c>
      <c r="C12" s="25">
        <f>+'OED budget 2026-27'!E8</f>
        <v>154558</v>
      </c>
      <c r="D12" s="25">
        <f>+'OED budget 2026-27'!F4</f>
        <v>0</v>
      </c>
      <c r="E12" s="25">
        <f>+'OED budget 2026-27'!G8+'OED budget 2026-27'!H8+'OED budget 2026-27'!I8</f>
        <v>0</v>
      </c>
      <c r="F12" s="26">
        <f t="shared" ref="F12:F13" si="2">+E12+D12</f>
        <v>0</v>
      </c>
      <c r="G12" s="25">
        <f t="shared" ref="G12:G13" si="3">+C12</f>
        <v>154558</v>
      </c>
      <c r="R12" s="1"/>
    </row>
    <row r="13" spans="2:18" x14ac:dyDescent="0.35">
      <c r="B13" s="5" t="s">
        <v>24</v>
      </c>
      <c r="C13" s="25">
        <f>+'OED budget 2026-27'!E20</f>
        <v>63986</v>
      </c>
      <c r="D13" s="25">
        <f>+'OED budget 2026-27'!F20</f>
        <v>23209.18</v>
      </c>
      <c r="E13" s="25">
        <f>+'OED budget 2026-27'!G20+'OED budget 2026-27'!H20+'OED budget 2026-27'!I20</f>
        <v>1118.8199999999988</v>
      </c>
      <c r="F13" s="26">
        <f t="shared" si="2"/>
        <v>24328</v>
      </c>
      <c r="G13" s="25">
        <f t="shared" si="3"/>
        <v>63986</v>
      </c>
    </row>
    <row r="14" spans="2:18" x14ac:dyDescent="0.35">
      <c r="B14" s="9" t="s">
        <v>25</v>
      </c>
      <c r="C14" s="26">
        <f>SUM(C12:C13)</f>
        <v>218544</v>
      </c>
      <c r="D14" s="26">
        <f>SUM(D12:D13)</f>
        <v>23209.18</v>
      </c>
      <c r="E14" s="26">
        <f>SUM(E12:E13)</f>
        <v>1118.8199999999988</v>
      </c>
      <c r="F14" s="26">
        <f>SUM(F12:F13)</f>
        <v>24328</v>
      </c>
      <c r="G14" s="26">
        <f>SUM(G12:G13)</f>
        <v>218544</v>
      </c>
      <c r="H14" s="12"/>
    </row>
    <row r="15" spans="2:18" x14ac:dyDescent="0.35">
      <c r="B15" s="5"/>
      <c r="C15" s="25"/>
      <c r="D15" s="25"/>
      <c r="E15" s="25"/>
      <c r="F15" s="26"/>
      <c r="G15" s="25"/>
    </row>
    <row r="16" spans="2:18" x14ac:dyDescent="0.35">
      <c r="B16" s="9" t="s">
        <v>26</v>
      </c>
      <c r="C16" s="26">
        <f>+C14+C9</f>
        <v>0</v>
      </c>
      <c r="D16" s="26">
        <f>+D14+D9</f>
        <v>0</v>
      </c>
      <c r="E16" s="26">
        <f>+E14+E9</f>
        <v>0</v>
      </c>
      <c r="F16" s="26">
        <f>+F14+F9</f>
        <v>0</v>
      </c>
      <c r="G16" s="26">
        <f>+G14+G9</f>
        <v>0</v>
      </c>
    </row>
    <row r="17" spans="2:7" x14ac:dyDescent="0.35">
      <c r="C17" s="2"/>
      <c r="D17" s="2"/>
      <c r="E17" s="2"/>
      <c r="F17" s="2"/>
      <c r="G17" s="2"/>
    </row>
    <row r="18" spans="2:7" x14ac:dyDescent="0.35">
      <c r="C18" s="2"/>
      <c r="D18" s="2"/>
      <c r="E18" s="2"/>
      <c r="F18" s="2"/>
      <c r="G18" s="2"/>
    </row>
    <row r="19" spans="2:7" x14ac:dyDescent="0.35">
      <c r="B19" s="3" t="str">
        <f>B5</f>
        <v>Project/Scheme</v>
      </c>
      <c r="C19" s="13" t="str">
        <f>C5</f>
        <v>Budget</v>
      </c>
      <c r="D19" s="13" t="str">
        <f>D5</f>
        <v>Spend YTD</v>
      </c>
      <c r="E19" s="10" t="s">
        <v>6</v>
      </c>
      <c r="F19" s="10" t="s">
        <v>7</v>
      </c>
      <c r="G19" s="13" t="str">
        <f>G5</f>
        <v>Forecast</v>
      </c>
    </row>
    <row r="20" spans="2:7" x14ac:dyDescent="0.35">
      <c r="B20" s="6" t="str">
        <f>B6</f>
        <v>Income</v>
      </c>
      <c r="C20" s="7"/>
      <c r="D20" s="7"/>
      <c r="E20" s="7"/>
      <c r="F20" s="7"/>
      <c r="G20" s="7"/>
    </row>
    <row r="21" spans="2:7" ht="13.5" customHeight="1" x14ac:dyDescent="0.35">
      <c r="B21" s="5" t="s">
        <v>9</v>
      </c>
      <c r="C21" s="25">
        <f>+C7</f>
        <v>-63986</v>
      </c>
      <c r="D21" s="25">
        <f t="shared" ref="D21:E21" si="4">+D7</f>
        <v>-23209.18</v>
      </c>
      <c r="E21" s="25">
        <f t="shared" si="4"/>
        <v>-1118.8199999999988</v>
      </c>
      <c r="F21" s="26">
        <f t="shared" ref="F21:F22" si="5">+E21+D21</f>
        <v>-24328</v>
      </c>
      <c r="G21" s="25">
        <f>+C21</f>
        <v>-63986</v>
      </c>
    </row>
    <row r="22" spans="2:7" x14ac:dyDescent="0.35">
      <c r="B22" s="5" t="s">
        <v>10</v>
      </c>
      <c r="C22" s="25">
        <f>+C8</f>
        <v>-154558</v>
      </c>
      <c r="D22" s="25">
        <f t="shared" ref="D22:E22" si="6">+D8</f>
        <v>0</v>
      </c>
      <c r="E22" s="25">
        <f t="shared" si="6"/>
        <v>0</v>
      </c>
      <c r="F22" s="26">
        <f t="shared" si="5"/>
        <v>0</v>
      </c>
      <c r="G22" s="25">
        <f>+C22</f>
        <v>-154558</v>
      </c>
    </row>
    <row r="23" spans="2:7" x14ac:dyDescent="0.35">
      <c r="B23" s="3" t="str">
        <f>B9</f>
        <v>TOTAL INCOME</v>
      </c>
      <c r="C23" s="26">
        <f>SUM(C21:C22)</f>
        <v>-218544</v>
      </c>
      <c r="D23" s="26">
        <f t="shared" ref="D23:G23" si="7">SUM(D21:D22)</f>
        <v>-23209.18</v>
      </c>
      <c r="E23" s="26">
        <f t="shared" si="7"/>
        <v>-1118.8199999999988</v>
      </c>
      <c r="F23" s="26">
        <f t="shared" si="7"/>
        <v>-24328</v>
      </c>
      <c r="G23" s="26">
        <f t="shared" si="7"/>
        <v>-218544</v>
      </c>
    </row>
    <row r="24" spans="2:7" x14ac:dyDescent="0.35">
      <c r="B24" s="4"/>
      <c r="C24" s="5"/>
      <c r="D24" s="5"/>
      <c r="E24" s="5"/>
      <c r="F24" s="5"/>
      <c r="G24" s="5"/>
    </row>
    <row r="25" spans="2:7" x14ac:dyDescent="0.35">
      <c r="B25" s="6" t="str">
        <f>B11</f>
        <v>Costs</v>
      </c>
      <c r="C25" s="8"/>
      <c r="D25" s="8"/>
      <c r="E25" s="8"/>
      <c r="F25" s="8"/>
      <c r="G25" s="8"/>
    </row>
    <row r="26" spans="2:7" x14ac:dyDescent="0.35">
      <c r="B26" s="121" t="s">
        <v>176</v>
      </c>
      <c r="C26" s="122"/>
      <c r="D26" s="122"/>
      <c r="E26" s="122"/>
      <c r="F26" s="122"/>
      <c r="G26" s="122"/>
    </row>
    <row r="27" spans="2:7" x14ac:dyDescent="0.35">
      <c r="B27" s="37" t="s">
        <v>173</v>
      </c>
      <c r="C27" s="25">
        <f>+'OED budget 2026-27'!E4</f>
        <v>154558</v>
      </c>
      <c r="D27" s="25">
        <f>+'OED budget 2026-27'!F4</f>
        <v>0</v>
      </c>
      <c r="E27" s="25">
        <f>+'OED budget 2026-27'!G4+'OED budget 2026-27'!H4+'OED budget 2026-27'!I4</f>
        <v>0</v>
      </c>
      <c r="F27" s="26">
        <f>SUM(C27:E27)</f>
        <v>154558</v>
      </c>
      <c r="G27" s="25">
        <f>+C27</f>
        <v>154558</v>
      </c>
    </row>
    <row r="28" spans="2:7" x14ac:dyDescent="0.35">
      <c r="B28" s="36" t="s">
        <v>174</v>
      </c>
      <c r="C28" s="25">
        <f>+'OED budget 2026-27'!E5</f>
        <v>0</v>
      </c>
      <c r="D28" s="25">
        <f>+'OED budget 2026-27'!F5</f>
        <v>0</v>
      </c>
      <c r="E28" s="25">
        <f>+'OED budget 2026-27'!G5+'OED budget 2026-27'!H5+'OED budget 2026-27'!I5</f>
        <v>0</v>
      </c>
      <c r="F28" s="26">
        <f t="shared" ref="F28:F37" si="8">SUM(C28:E28)</f>
        <v>0</v>
      </c>
      <c r="G28" s="25">
        <f>+C28</f>
        <v>0</v>
      </c>
    </row>
    <row r="29" spans="2:7" x14ac:dyDescent="0.35">
      <c r="B29" s="36"/>
      <c r="C29" s="25"/>
      <c r="D29" s="25"/>
      <c r="E29" s="25"/>
      <c r="F29" s="26"/>
      <c r="G29" s="25"/>
    </row>
    <row r="30" spans="2:7" x14ac:dyDescent="0.35">
      <c r="B30" s="121" t="s">
        <v>24</v>
      </c>
      <c r="C30" s="123"/>
      <c r="D30" s="123"/>
      <c r="E30" s="123"/>
      <c r="F30" s="124"/>
      <c r="G30" s="123"/>
    </row>
    <row r="31" spans="2:7" x14ac:dyDescent="0.35">
      <c r="B31" s="36" t="s">
        <v>143</v>
      </c>
      <c r="C31" s="25">
        <f>+'OED budget 2026-27'!E10</f>
        <v>17100</v>
      </c>
      <c r="D31" s="25">
        <f>+'OED budget 2026-27'!F10</f>
        <v>0</v>
      </c>
      <c r="E31" s="25">
        <f>+'OED budget 2026-27'!G10+'OED budget 2026-27'!H10+'OED budget 2026-27'!I10</f>
        <v>0</v>
      </c>
      <c r="F31" s="26">
        <f t="shared" si="8"/>
        <v>17100</v>
      </c>
      <c r="G31" s="25">
        <f t="shared" ref="G31:G37" si="9">+C31</f>
        <v>17100</v>
      </c>
    </row>
    <row r="32" spans="2:7" x14ac:dyDescent="0.35">
      <c r="B32" s="36" t="s">
        <v>34</v>
      </c>
      <c r="C32" s="25">
        <f>+'OED budget 2026-27'!E11</f>
        <v>20448</v>
      </c>
      <c r="D32" s="25">
        <f>+'OED budget 2026-27'!F11</f>
        <v>19329.18</v>
      </c>
      <c r="E32" s="25">
        <f>+'OED budget 2026-27'!G11+'OED budget 2026-27'!H11+'OED budget 2026-27'!I11</f>
        <v>1118.8199999999988</v>
      </c>
      <c r="F32" s="26">
        <f t="shared" si="8"/>
        <v>40896</v>
      </c>
      <c r="G32" s="25">
        <f t="shared" si="9"/>
        <v>20448</v>
      </c>
    </row>
    <row r="33" spans="2:7" x14ac:dyDescent="0.35">
      <c r="B33" s="36" t="s">
        <v>141</v>
      </c>
      <c r="C33" s="25">
        <f>+'OED budget 2026-27'!E12</f>
        <v>21500</v>
      </c>
      <c r="D33" s="25">
        <f>+'OED budget 2026-27'!F12</f>
        <v>0</v>
      </c>
      <c r="E33" s="25">
        <f>+'OED budget 2026-27'!G12+'OED budget 2026-27'!H12+'OED budget 2026-27'!I12</f>
        <v>0</v>
      </c>
      <c r="F33" s="26">
        <f t="shared" si="8"/>
        <v>21500</v>
      </c>
      <c r="G33" s="25">
        <f t="shared" si="9"/>
        <v>21500</v>
      </c>
    </row>
    <row r="34" spans="2:7" x14ac:dyDescent="0.35">
      <c r="B34" s="37" t="s">
        <v>71</v>
      </c>
      <c r="C34" s="25">
        <f>+'OED budget 2026-27'!E13</f>
        <v>2800</v>
      </c>
      <c r="D34" s="25">
        <f>+'OED budget 2026-27'!F13</f>
        <v>2800</v>
      </c>
      <c r="E34" s="25">
        <f>+'OED budget 2026-27'!G13+'OED budget 2026-27'!H13+'OED budget 2026-27'!I13</f>
        <v>0</v>
      </c>
      <c r="F34" s="26">
        <f t="shared" si="8"/>
        <v>5600</v>
      </c>
      <c r="G34" s="25">
        <f t="shared" si="9"/>
        <v>2800</v>
      </c>
    </row>
    <row r="35" spans="2:7" x14ac:dyDescent="0.35">
      <c r="B35" s="36" t="s">
        <v>144</v>
      </c>
      <c r="C35" s="25">
        <f>+'OED budget 2026-27'!E14</f>
        <v>2000</v>
      </c>
      <c r="D35" s="25">
        <f>+'OED budget 2026-27'!F14</f>
        <v>2000</v>
      </c>
      <c r="E35" s="25">
        <f>+'OED budget 2026-27'!G14+'OED budget 2026-27'!H14+'OED budget 2026-27'!I14</f>
        <v>0</v>
      </c>
      <c r="F35" s="26">
        <f t="shared" si="8"/>
        <v>4000</v>
      </c>
      <c r="G35" s="25">
        <f t="shared" si="9"/>
        <v>2000</v>
      </c>
    </row>
    <row r="36" spans="2:7" x14ac:dyDescent="0.35">
      <c r="B36" s="36" t="s">
        <v>68</v>
      </c>
      <c r="C36" s="25">
        <f>+'OED budget 2026-27'!E15</f>
        <v>1058</v>
      </c>
      <c r="D36" s="25">
        <f>+'OED budget 2026-27'!F15</f>
        <v>0</v>
      </c>
      <c r="E36" s="25">
        <f>+'OED budget 2026-27'!G15+'OED budget 2026-27'!H15+'OED budget 2026-27'!I15</f>
        <v>0</v>
      </c>
      <c r="F36" s="26">
        <f t="shared" si="8"/>
        <v>1058</v>
      </c>
      <c r="G36" s="25">
        <f t="shared" si="9"/>
        <v>1058</v>
      </c>
    </row>
    <row r="37" spans="2:7" x14ac:dyDescent="0.35">
      <c r="B37" s="36" t="s">
        <v>168</v>
      </c>
      <c r="C37" s="25">
        <f>+'OED budget 2026-27'!E16</f>
        <v>-920</v>
      </c>
      <c r="D37" s="25">
        <f>+'OED budget 2026-27'!F16</f>
        <v>-920</v>
      </c>
      <c r="E37" s="25">
        <f>+'OED budget 2026-27'!G16+'OED budget 2026-27'!H16+'OED budget 2026-27'!I16</f>
        <v>0</v>
      </c>
      <c r="F37" s="26">
        <f t="shared" si="8"/>
        <v>-1840</v>
      </c>
      <c r="G37" s="25">
        <f t="shared" si="9"/>
        <v>-920</v>
      </c>
    </row>
    <row r="38" spans="2:7" x14ac:dyDescent="0.35">
      <c r="B38" s="4"/>
      <c r="C38" s="25"/>
      <c r="D38" s="25"/>
      <c r="E38" s="25"/>
      <c r="F38" s="25"/>
      <c r="G38" s="25"/>
    </row>
    <row r="39" spans="2:7" x14ac:dyDescent="0.35">
      <c r="B39" s="3" t="str">
        <f>B14</f>
        <v>TOTAL SPEND</v>
      </c>
      <c r="C39" s="26">
        <f>SUM(C26:C38)</f>
        <v>218544</v>
      </c>
      <c r="D39" s="26">
        <f>SUM(D26:D38)</f>
        <v>23209.18</v>
      </c>
      <c r="E39" s="26">
        <f t="shared" ref="E39:F39" si="10">SUM(E26:E38)</f>
        <v>1118.8199999999988</v>
      </c>
      <c r="F39" s="26">
        <f t="shared" si="10"/>
        <v>242872</v>
      </c>
      <c r="G39" s="26">
        <f>SUM(G26:G38)</f>
        <v>218544</v>
      </c>
    </row>
    <row r="40" spans="2:7" x14ac:dyDescent="0.35">
      <c r="B40" s="4"/>
      <c r="C40" s="11"/>
      <c r="D40" s="11"/>
      <c r="E40" s="11"/>
      <c r="F40" s="11"/>
      <c r="G40" s="11"/>
    </row>
    <row r="41" spans="2:7" x14ac:dyDescent="0.35">
      <c r="B41" s="3" t="str">
        <f>B16</f>
        <v>BALANCE</v>
      </c>
      <c r="C41" s="26">
        <f>+C39+C23</f>
        <v>0</v>
      </c>
      <c r="D41" s="26">
        <f>+D39+D23</f>
        <v>0</v>
      </c>
      <c r="E41" s="26">
        <f t="shared" ref="E41:F41" si="11">+E39+E23</f>
        <v>0</v>
      </c>
      <c r="F41" s="26">
        <f t="shared" si="11"/>
        <v>218544</v>
      </c>
      <c r="G41" s="26">
        <f>+G39+G23</f>
        <v>0</v>
      </c>
    </row>
    <row r="43" spans="2:7" x14ac:dyDescent="0.35">
      <c r="C43" s="27">
        <f>+C23-C9</f>
        <v>0</v>
      </c>
      <c r="D43" s="27">
        <f>+D23-D9</f>
        <v>0</v>
      </c>
      <c r="E43" s="27"/>
      <c r="F43" s="27"/>
      <c r="G43" s="27">
        <f>+G23-G9</f>
        <v>0</v>
      </c>
    </row>
    <row r="44" spans="2:7" x14ac:dyDescent="0.35">
      <c r="C44" s="27">
        <f>+C39-C14</f>
        <v>0</v>
      </c>
      <c r="D44" s="27">
        <f>+D39-D14</f>
        <v>0</v>
      </c>
      <c r="E44" s="27"/>
      <c r="F44" s="27"/>
      <c r="G44" s="27">
        <f>+G39-G14</f>
        <v>0</v>
      </c>
    </row>
    <row r="45" spans="2:7" x14ac:dyDescent="0.35">
      <c r="C45" s="27">
        <f>+C41-C16</f>
        <v>0</v>
      </c>
      <c r="D45" s="27">
        <f>+D41-D16</f>
        <v>0</v>
      </c>
      <c r="E45" s="27"/>
      <c r="F45" s="27"/>
      <c r="G45" s="27">
        <f>+G41-G16</f>
        <v>0</v>
      </c>
    </row>
    <row r="47" spans="2:7" x14ac:dyDescent="0.35">
      <c r="B47" t="s">
        <v>41</v>
      </c>
      <c r="C47" s="45">
        <f>+'OED budget 2026-27'!E21</f>
        <v>218544</v>
      </c>
      <c r="D47" s="45">
        <f>+'OED budget 2026-27'!F21</f>
        <v>23209.18</v>
      </c>
      <c r="E47" s="45"/>
      <c r="F47" s="45"/>
      <c r="G47" s="44"/>
    </row>
    <row r="48" spans="2:7" x14ac:dyDescent="0.35">
      <c r="B48" t="s">
        <v>42</v>
      </c>
      <c r="C48" s="27">
        <f>+C47-C39</f>
        <v>0</v>
      </c>
      <c r="D48" s="27">
        <f t="shared" ref="D48" si="12">+D47-D39</f>
        <v>0</v>
      </c>
      <c r="E48" s="27"/>
      <c r="F48" s="27"/>
      <c r="G48" s="12"/>
    </row>
    <row r="50" spans="2:6" x14ac:dyDescent="0.35">
      <c r="B50" t="s">
        <v>43</v>
      </c>
      <c r="C50" s="31">
        <f>+'OED budget 2026-27'!E27</f>
        <v>-218544</v>
      </c>
      <c r="D50" s="31">
        <f>+'OED budget 2026-27'!F27</f>
        <v>-23209.18</v>
      </c>
      <c r="E50" s="31"/>
      <c r="F50" s="31"/>
    </row>
    <row r="51" spans="2:6" x14ac:dyDescent="0.35">
      <c r="B51" t="s">
        <v>42</v>
      </c>
      <c r="C51" s="27">
        <f>+C50-C23</f>
        <v>0</v>
      </c>
      <c r="D51" s="27">
        <f>+D50-D23</f>
        <v>0</v>
      </c>
      <c r="E51" s="27"/>
      <c r="F51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A08A-23AD-407E-8729-53624C408077}">
  <sheetPr>
    <tabColor rgb="FF92D050"/>
  </sheetPr>
  <dimension ref="A1:N100"/>
  <sheetViews>
    <sheetView zoomScaleNormal="100" workbookViewId="0">
      <pane ySplit="2" topLeftCell="A3" activePane="bottomLeft" state="frozen"/>
      <selection activeCell="L35" sqref="L35"/>
      <selection pane="bottomLeft" activeCell="A12" sqref="A12"/>
    </sheetView>
  </sheetViews>
  <sheetFormatPr defaultColWidth="9.26953125" defaultRowHeight="14.5" x14ac:dyDescent="0.35"/>
  <cols>
    <col min="1" max="1" width="44" style="20" customWidth="1"/>
    <col min="2" max="2" width="16.54296875" style="20" customWidth="1"/>
    <col min="3" max="3" width="10.54296875" style="20" customWidth="1"/>
    <col min="4" max="5" width="14.7265625" style="20" customWidth="1"/>
    <col min="6" max="9" width="17.54296875" style="20" customWidth="1"/>
    <col min="10" max="10" width="15.26953125" style="20" customWidth="1"/>
    <col min="11" max="11" width="13.1796875" style="20" customWidth="1"/>
    <col min="12" max="12" width="30.7265625" style="20" customWidth="1"/>
    <col min="13" max="13" width="11.81640625" style="20" customWidth="1"/>
    <col min="14" max="14" width="39.26953125" style="20" customWidth="1"/>
    <col min="15" max="16384" width="9.26953125" style="20"/>
  </cols>
  <sheetData>
    <row r="1" spans="1:14" x14ac:dyDescent="0.35">
      <c r="H1" s="47" t="s">
        <v>44</v>
      </c>
      <c r="I1" s="47" t="s">
        <v>44</v>
      </c>
      <c r="J1" s="21"/>
      <c r="K1" s="47" t="s">
        <v>44</v>
      </c>
      <c r="L1" s="47" t="s">
        <v>44</v>
      </c>
      <c r="M1" s="47"/>
      <c r="N1" s="47" t="s">
        <v>44</v>
      </c>
    </row>
    <row r="2" spans="1:14" s="18" customFormat="1" ht="43.5" x14ac:dyDescent="0.35">
      <c r="A2" s="23" t="s">
        <v>0</v>
      </c>
      <c r="B2" s="24" t="s">
        <v>45</v>
      </c>
      <c r="C2" s="24" t="s">
        <v>46</v>
      </c>
      <c r="D2" s="24" t="s">
        <v>138</v>
      </c>
      <c r="E2" s="24" t="s">
        <v>139</v>
      </c>
      <c r="F2" s="24" t="s">
        <v>47</v>
      </c>
      <c r="G2" s="24" t="s">
        <v>48</v>
      </c>
      <c r="H2" s="24" t="s">
        <v>49</v>
      </c>
      <c r="I2" s="24" t="s">
        <v>50</v>
      </c>
      <c r="J2" s="24" t="s">
        <v>51</v>
      </c>
      <c r="K2" s="24" t="s">
        <v>52</v>
      </c>
      <c r="L2" s="24" t="s">
        <v>140</v>
      </c>
      <c r="M2" s="24" t="s">
        <v>53</v>
      </c>
      <c r="N2" s="24" t="s">
        <v>54</v>
      </c>
    </row>
    <row r="3" spans="1:14" x14ac:dyDescent="0.35">
      <c r="A3" s="57" t="s">
        <v>176</v>
      </c>
      <c r="B3" s="57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5" customHeight="1" x14ac:dyDescent="0.35">
      <c r="A4" s="46" t="s">
        <v>173</v>
      </c>
      <c r="B4" s="46"/>
      <c r="C4" s="34" t="s">
        <v>137</v>
      </c>
      <c r="D4" s="34"/>
      <c r="E4" s="117">
        <v>154558</v>
      </c>
      <c r="F4" s="33">
        <f>+SUMIF('OED Ledger Posted '!U:U,'OED budget 2026-27'!A4,'OED Ledger Posted '!T:T)</f>
        <v>0</v>
      </c>
      <c r="G4" s="33">
        <f>+SUMIF('OED Ledger Registered '!U:U,'OED budget 2026-27'!A4,'OED Ledger Registered '!T:T)</f>
        <v>0</v>
      </c>
      <c r="H4" s="33">
        <f>0-G4-F4</f>
        <v>0</v>
      </c>
      <c r="I4" s="34"/>
      <c r="J4" s="33">
        <f>+E4-F4-G4-H4-I4</f>
        <v>154558</v>
      </c>
      <c r="K4" s="69">
        <v>109699</v>
      </c>
      <c r="L4" s="69" t="s">
        <v>142</v>
      </c>
      <c r="M4" s="46"/>
      <c r="N4" s="46" t="s">
        <v>177</v>
      </c>
    </row>
    <row r="5" spans="1:14" ht="15" customHeight="1" x14ac:dyDescent="0.35">
      <c r="A5" s="46" t="s">
        <v>174</v>
      </c>
      <c r="B5" s="46"/>
      <c r="C5" s="34"/>
      <c r="D5" s="34"/>
      <c r="E5" s="34"/>
      <c r="F5" s="33">
        <f>+SUMIF('OED Ledger Posted '!U:U,'OED budget 2026-27'!A5,'OED Ledger Posted '!T:T)</f>
        <v>0</v>
      </c>
      <c r="G5" s="33">
        <f>+SUMIF('OED Ledger Registered '!U:U,'OED budget 2026-27'!A5,'OED Ledger Registered '!T:T)</f>
        <v>0</v>
      </c>
      <c r="H5" s="33">
        <f>0-G5-F5</f>
        <v>0</v>
      </c>
      <c r="I5" s="34"/>
      <c r="J5" s="33">
        <f>+E5-F5-G5-H5-I5</f>
        <v>0</v>
      </c>
      <c r="K5" s="69"/>
      <c r="L5" s="69"/>
      <c r="M5" s="69"/>
      <c r="N5" s="70" t="s">
        <v>175</v>
      </c>
    </row>
    <row r="6" spans="1:14" ht="15" customHeight="1" x14ac:dyDescent="0.35">
      <c r="A6" s="46"/>
      <c r="B6" s="46"/>
      <c r="C6" s="34"/>
      <c r="D6" s="34"/>
      <c r="E6" s="34"/>
      <c r="F6" s="33">
        <f>+SUMIF('OED Ledger Posted '!U:U,'OED budget 2026-27'!A6,'OED Ledger Posted '!T:T)</f>
        <v>0</v>
      </c>
      <c r="G6" s="33">
        <f>+SUMIF('OED Ledger Registered '!U:U,'OED budget 2026-27'!A6,'OED Ledger Registered '!T:T)</f>
        <v>0</v>
      </c>
      <c r="H6" s="33">
        <f>0-G6-F6</f>
        <v>0</v>
      </c>
      <c r="I6" s="34"/>
      <c r="J6" s="33">
        <f>+E6-F6-G6-H6-I6</f>
        <v>0</v>
      </c>
      <c r="K6" s="69"/>
      <c r="L6" s="69"/>
      <c r="M6" s="69"/>
      <c r="N6" s="70"/>
    </row>
    <row r="7" spans="1:14" ht="15" customHeight="1" x14ac:dyDescent="0.35">
      <c r="A7" s="46"/>
      <c r="B7" s="46"/>
      <c r="C7" s="34"/>
      <c r="D7" s="34"/>
      <c r="E7" s="34"/>
      <c r="F7" s="33">
        <f>+SUMIF('OED Ledger Posted '!U:U,'OED budget 2026-27'!A7,'OED Ledger Posted '!T:T)</f>
        <v>0</v>
      </c>
      <c r="G7" s="33">
        <f>+SUMIF('OED Ledger Registered '!U:U,'OED budget 2026-27'!A7,'OED Ledger Registered '!T:T)</f>
        <v>0</v>
      </c>
      <c r="H7" s="33">
        <f>0-G7-F7</f>
        <v>0</v>
      </c>
      <c r="I7" s="34"/>
      <c r="J7" s="33">
        <f>+E7-F7-G7-H7-I7</f>
        <v>0</v>
      </c>
      <c r="K7" s="46"/>
      <c r="L7" s="46"/>
      <c r="M7" s="46"/>
      <c r="N7" s="70"/>
    </row>
    <row r="8" spans="1:14" s="78" customFormat="1" ht="15" customHeight="1" x14ac:dyDescent="0.35">
      <c r="A8" s="58" t="s">
        <v>7</v>
      </c>
      <c r="B8" s="58"/>
      <c r="C8" s="35"/>
      <c r="D8" s="48">
        <f t="shared" ref="D8:J8" si="0">SUM(D4:D7)</f>
        <v>0</v>
      </c>
      <c r="E8" s="48">
        <f t="shared" si="0"/>
        <v>154558</v>
      </c>
      <c r="F8" s="48">
        <f t="shared" si="0"/>
        <v>0</v>
      </c>
      <c r="G8" s="48">
        <f t="shared" si="0"/>
        <v>0</v>
      </c>
      <c r="H8" s="48">
        <f t="shared" si="0"/>
        <v>0</v>
      </c>
      <c r="I8" s="48">
        <f t="shared" si="0"/>
        <v>0</v>
      </c>
      <c r="J8" s="48">
        <f t="shared" si="0"/>
        <v>154558</v>
      </c>
      <c r="K8" s="58"/>
      <c r="L8" s="58"/>
      <c r="M8" s="58"/>
      <c r="N8" s="71"/>
    </row>
    <row r="9" spans="1:14" ht="15" customHeight="1" x14ac:dyDescent="0.35">
      <c r="A9" s="82" t="s">
        <v>24</v>
      </c>
      <c r="B9" s="82"/>
      <c r="C9" s="83"/>
      <c r="D9" s="83"/>
      <c r="E9" s="83"/>
      <c r="F9" s="84"/>
      <c r="G9" s="84"/>
      <c r="H9" s="83"/>
      <c r="I9" s="83"/>
      <c r="J9" s="83"/>
      <c r="K9" s="83"/>
      <c r="L9" s="83"/>
      <c r="M9" s="83"/>
      <c r="N9" s="83"/>
    </row>
    <row r="10" spans="1:14" ht="15" customHeight="1" x14ac:dyDescent="0.35">
      <c r="A10" s="100" t="s">
        <v>143</v>
      </c>
      <c r="B10" s="87" t="s">
        <v>56</v>
      </c>
      <c r="C10" s="101" t="s">
        <v>136</v>
      </c>
      <c r="D10" s="101">
        <v>17100</v>
      </c>
      <c r="E10" s="101">
        <v>17100</v>
      </c>
      <c r="F10" s="102">
        <f>+SUMIF('OED Ledger Posted '!U:U,'OED budget 2026-27'!A10,'OED Ledger Posted '!T:T)</f>
        <v>0</v>
      </c>
      <c r="G10" s="102">
        <f>+SUMIF('OED Ledger Registered '!U:U,'OED budget 2026-27'!A10,'OED Ledger Registered '!T:T)</f>
        <v>0</v>
      </c>
      <c r="H10" s="102">
        <f>0-G10-F10</f>
        <v>0</v>
      </c>
      <c r="I10" s="101"/>
      <c r="J10" s="102">
        <f>+E10-F10-G10-H10-I10</f>
        <v>17100</v>
      </c>
      <c r="K10" s="69">
        <v>105797</v>
      </c>
      <c r="L10" s="69" t="s">
        <v>144</v>
      </c>
      <c r="M10" s="69"/>
      <c r="N10" s="73"/>
    </row>
    <row r="11" spans="1:14" ht="15" customHeight="1" x14ac:dyDescent="0.35">
      <c r="A11" s="99" t="s">
        <v>34</v>
      </c>
      <c r="B11" s="87" t="s">
        <v>142</v>
      </c>
      <c r="C11" s="101" t="s">
        <v>136</v>
      </c>
      <c r="D11" s="103">
        <v>20448</v>
      </c>
      <c r="E11" s="103">
        <v>20448</v>
      </c>
      <c r="F11" s="102">
        <f>+SUMIF('OED Ledger Posted '!U:U,'OED budget 2026-27'!A11,'OED Ledger Posted '!T:T)</f>
        <v>19329.18</v>
      </c>
      <c r="G11" s="102">
        <f>+SUMIF('OED Ledger Registered '!U:U,'OED budget 2026-27'!A11,'OED Ledger Registered '!T:T)</f>
        <v>6443.06</v>
      </c>
      <c r="H11" s="110">
        <f>20448-G11-F11</f>
        <v>-5324.2400000000016</v>
      </c>
      <c r="I11" s="103"/>
      <c r="J11" s="102">
        <f t="shared" ref="J11:J19" si="1">+E11-F11-G11-H11-I11</f>
        <v>9.0949470177292824E-13</v>
      </c>
      <c r="K11" s="69">
        <v>109699</v>
      </c>
      <c r="L11" s="69" t="s">
        <v>142</v>
      </c>
      <c r="M11" s="69">
        <v>30198674</v>
      </c>
      <c r="N11" s="69"/>
    </row>
    <row r="12" spans="1:14" ht="15" customHeight="1" x14ac:dyDescent="0.35">
      <c r="A12" s="99" t="s">
        <v>141</v>
      </c>
      <c r="B12" s="87" t="s">
        <v>142</v>
      </c>
      <c r="C12" s="101" t="s">
        <v>136</v>
      </c>
      <c r="D12" s="103">
        <v>21500</v>
      </c>
      <c r="E12" s="103">
        <v>21500</v>
      </c>
      <c r="F12" s="102">
        <f>+SUMIF('OED Ledger Posted '!U:U,'OED budget 2026-27'!A12,'OED Ledger Posted '!T:T)</f>
        <v>0</v>
      </c>
      <c r="G12" s="102">
        <f>+SUMIF('OED Ledger Registered '!U:U,'OED budget 2026-27'!A12,'OED Ledger Registered '!T:T)</f>
        <v>0</v>
      </c>
      <c r="H12" s="110">
        <f>0-G12-F12</f>
        <v>0</v>
      </c>
      <c r="I12" s="103"/>
      <c r="J12" s="102">
        <f t="shared" si="1"/>
        <v>21500</v>
      </c>
      <c r="K12" s="69">
        <v>109699</v>
      </c>
      <c r="L12" s="69" t="s">
        <v>142</v>
      </c>
      <c r="M12" s="69"/>
      <c r="N12" s="69"/>
    </row>
    <row r="13" spans="1:14" ht="15" customHeight="1" x14ac:dyDescent="0.35">
      <c r="A13" s="87" t="s">
        <v>71</v>
      </c>
      <c r="B13" s="87"/>
      <c r="C13" s="101" t="s">
        <v>136</v>
      </c>
      <c r="D13" s="101">
        <v>2800</v>
      </c>
      <c r="E13" s="101">
        <v>2800</v>
      </c>
      <c r="F13" s="102">
        <f>+SUMIF('OED Ledger Posted '!U:U,'OED budget 2026-27'!A13,'OED Ledger Posted '!T:T)</f>
        <v>2800</v>
      </c>
      <c r="G13" s="102">
        <f>+SUMIF('OED Ledger Registered '!U:U,'OED budget 2026-27'!A13,'OED Ledger Registered '!T:T)</f>
        <v>0</v>
      </c>
      <c r="H13" s="102">
        <f>2800-G13-F13</f>
        <v>0</v>
      </c>
      <c r="I13" s="101"/>
      <c r="J13" s="102">
        <v>0</v>
      </c>
      <c r="K13" s="46">
        <v>114893</v>
      </c>
      <c r="L13" s="46" t="s">
        <v>147</v>
      </c>
      <c r="M13" s="46">
        <v>30223560</v>
      </c>
      <c r="N13" s="72" t="s">
        <v>172</v>
      </c>
    </row>
    <row r="14" spans="1:14" ht="15" customHeight="1" x14ac:dyDescent="0.35">
      <c r="A14" s="87" t="s">
        <v>144</v>
      </c>
      <c r="B14" s="87"/>
      <c r="C14" s="101" t="s">
        <v>136</v>
      </c>
      <c r="D14" s="101">
        <v>0</v>
      </c>
      <c r="E14" s="101">
        <v>2000</v>
      </c>
      <c r="F14" s="102">
        <f>+SUMIF('OED Ledger Posted '!U:U,'OED budget 2026-27'!A14,'OED Ledger Posted '!T:T)</f>
        <v>2000</v>
      </c>
      <c r="G14" s="102">
        <f>+SUMIF('OED Ledger Registered '!U:U,'OED budget 2026-27'!A14,'OED Ledger Registered '!T:T)</f>
        <v>0</v>
      </c>
      <c r="H14" s="102">
        <f>2000-G14-F14</f>
        <v>0</v>
      </c>
      <c r="I14" s="101"/>
      <c r="J14" s="102">
        <f t="shared" ref="J14" si="2">+E14-F14-G14-H14-I14</f>
        <v>0</v>
      </c>
      <c r="K14" s="69">
        <v>105797</v>
      </c>
      <c r="L14" s="69" t="s">
        <v>144</v>
      </c>
      <c r="M14" s="46">
        <v>30225885</v>
      </c>
      <c r="N14" s="72"/>
    </row>
    <row r="15" spans="1:14" ht="15" customHeight="1" x14ac:dyDescent="0.35">
      <c r="A15" s="87" t="s">
        <v>68</v>
      </c>
      <c r="B15" s="87"/>
      <c r="C15" s="101" t="s">
        <v>136</v>
      </c>
      <c r="D15" s="101">
        <v>2138</v>
      </c>
      <c r="E15" s="101">
        <f>138+920</f>
        <v>1058</v>
      </c>
      <c r="F15" s="102">
        <f>+SUMIF('OED Ledger Posted '!U:U,'OED budget 2026-27'!A15,'OED Ledger Posted '!T:T)</f>
        <v>0</v>
      </c>
      <c r="G15" s="102">
        <f>+SUMIF('OED Ledger Registered '!U:U,'OED budget 2026-27'!A15,'OED Ledger Registered '!T:T)</f>
        <v>0</v>
      </c>
      <c r="H15" s="102">
        <f>0-G15-F15</f>
        <v>0</v>
      </c>
      <c r="I15" s="101"/>
      <c r="J15" s="102">
        <f t="shared" si="1"/>
        <v>1058</v>
      </c>
      <c r="K15" s="46"/>
      <c r="L15" s="46"/>
      <c r="M15" s="46"/>
      <c r="N15" s="72"/>
    </row>
    <row r="16" spans="1:14" ht="15" customHeight="1" x14ac:dyDescent="0.35">
      <c r="A16" s="114" t="s">
        <v>168</v>
      </c>
      <c r="B16" s="87"/>
      <c r="C16" s="101" t="s">
        <v>136</v>
      </c>
      <c r="D16" s="115">
        <v>0</v>
      </c>
      <c r="E16" s="103">
        <v>-920</v>
      </c>
      <c r="F16" s="102">
        <f>+SUMIF('OED Ledger Posted '!U:U,'OED budget 2026-27'!A16,'OED Ledger Posted '!T:T)</f>
        <v>-920</v>
      </c>
      <c r="G16" s="102">
        <f>+SUMIF('OED Ledger Registered '!U:U,'OED budget 2026-27'!A16,'OED Ledger Registered '!T:T)</f>
        <v>0</v>
      </c>
      <c r="H16" s="102">
        <v>0</v>
      </c>
      <c r="I16" s="103"/>
      <c r="J16" s="102">
        <f t="shared" si="1"/>
        <v>0</v>
      </c>
      <c r="K16" s="46"/>
      <c r="L16" s="46"/>
      <c r="M16" s="46"/>
      <c r="N16" s="74"/>
    </row>
    <row r="17" spans="1:14" ht="15" customHeight="1" x14ac:dyDescent="0.35">
      <c r="A17" s="104"/>
      <c r="B17" s="46"/>
      <c r="C17" s="105"/>
      <c r="D17" s="106"/>
      <c r="E17" s="116"/>
      <c r="F17" s="107">
        <f>+SUMIF('OED Ledger Posted '!U:U,'OED budget 2026-27'!A17,'OED Ledger Posted '!T:T)</f>
        <v>0</v>
      </c>
      <c r="G17" s="107">
        <f>+SUMIF('OED Ledger Registered '!U:U,'OED budget 2026-27'!A17,'OED Ledger Registered '!T:T)</f>
        <v>0</v>
      </c>
      <c r="H17" s="107">
        <f>0-G17-F17</f>
        <v>0</v>
      </c>
      <c r="I17" s="68"/>
      <c r="J17" s="33">
        <f t="shared" si="1"/>
        <v>0</v>
      </c>
      <c r="K17" s="46"/>
      <c r="L17" s="46"/>
      <c r="M17" s="46"/>
      <c r="N17" s="74"/>
    </row>
    <row r="18" spans="1:14" ht="15" customHeight="1" x14ac:dyDescent="0.35">
      <c r="A18" s="108"/>
      <c r="B18" s="46"/>
      <c r="C18" s="105"/>
      <c r="D18" s="109"/>
      <c r="E18" s="109"/>
      <c r="F18" s="107">
        <f>+SUMIF('OED Ledger Posted '!U:U,'OED budget 2026-27'!A18,'OED Ledger Posted '!T:T)</f>
        <v>0</v>
      </c>
      <c r="G18" s="107">
        <f>+SUMIF('OED Ledger Registered '!U:U,'OED budget 2026-27'!A18,'OED Ledger Registered '!T:T)</f>
        <v>0</v>
      </c>
      <c r="H18" s="107">
        <f>0-G18-F18</f>
        <v>0</v>
      </c>
      <c r="I18" s="68"/>
      <c r="J18" s="33">
        <f t="shared" si="1"/>
        <v>0</v>
      </c>
      <c r="K18" s="46"/>
      <c r="L18" s="46"/>
      <c r="M18" s="46"/>
      <c r="N18" s="74"/>
    </row>
    <row r="19" spans="1:14" ht="15" customHeight="1" x14ac:dyDescent="0.35">
      <c r="A19" s="104"/>
      <c r="B19" s="46"/>
      <c r="C19" s="105"/>
      <c r="D19" s="109"/>
      <c r="E19" s="109"/>
      <c r="F19" s="107">
        <f>+SUMIF('OED Ledger Posted '!U:U,'OED budget 2026-27'!A19,'OED Ledger Posted '!T:T)</f>
        <v>0</v>
      </c>
      <c r="G19" s="107">
        <f>+SUMIF('OED Ledger Registered '!U:U,'OED budget 2026-27'!A19,'OED Ledger Registered '!T:T)</f>
        <v>0</v>
      </c>
      <c r="H19" s="107">
        <f>0-G19-F19</f>
        <v>0</v>
      </c>
      <c r="I19" s="68"/>
      <c r="J19" s="33">
        <f t="shared" si="1"/>
        <v>0</v>
      </c>
      <c r="K19" s="46"/>
      <c r="L19" s="46"/>
      <c r="M19" s="46"/>
      <c r="N19" s="74"/>
    </row>
    <row r="20" spans="1:14" ht="15" customHeight="1" x14ac:dyDescent="0.35">
      <c r="A20" s="58" t="s">
        <v>7</v>
      </c>
      <c r="B20" s="58"/>
      <c r="C20" s="35"/>
      <c r="D20" s="48">
        <f>SUM(D10:D19)</f>
        <v>63986</v>
      </c>
      <c r="E20" s="48">
        <f>SUM(E10:E19)</f>
        <v>63986</v>
      </c>
      <c r="F20" s="48">
        <f t="shared" ref="F20:J20" si="3">SUM(F10:F19)</f>
        <v>23209.18</v>
      </c>
      <c r="G20" s="48">
        <f t="shared" si="3"/>
        <v>6443.06</v>
      </c>
      <c r="H20" s="48">
        <f t="shared" si="3"/>
        <v>-5324.2400000000016</v>
      </c>
      <c r="I20" s="48">
        <f t="shared" si="3"/>
        <v>0</v>
      </c>
      <c r="J20" s="48">
        <f t="shared" si="3"/>
        <v>39658</v>
      </c>
      <c r="K20" s="46"/>
      <c r="L20" s="46"/>
      <c r="M20" s="46"/>
      <c r="N20" s="72"/>
    </row>
    <row r="21" spans="1:14" ht="15" customHeight="1" x14ac:dyDescent="0.35">
      <c r="A21" s="58" t="s">
        <v>72</v>
      </c>
      <c r="B21" s="58"/>
      <c r="C21" s="35"/>
      <c r="D21" s="48">
        <f t="shared" ref="D21:J21" si="4">SUM(D3:D20)/2</f>
        <v>63986</v>
      </c>
      <c r="E21" s="48">
        <f t="shared" si="4"/>
        <v>218544</v>
      </c>
      <c r="F21" s="48">
        <f t="shared" si="4"/>
        <v>23209.18</v>
      </c>
      <c r="G21" s="48">
        <f t="shared" si="4"/>
        <v>6443.06</v>
      </c>
      <c r="H21" s="48">
        <f t="shared" si="4"/>
        <v>-5324.2400000000016</v>
      </c>
      <c r="I21" s="48">
        <f t="shared" si="4"/>
        <v>0</v>
      </c>
      <c r="J21" s="48">
        <f t="shared" si="4"/>
        <v>194216</v>
      </c>
      <c r="K21" s="46"/>
      <c r="L21" s="46"/>
      <c r="M21" s="46"/>
      <c r="N21" s="72"/>
    </row>
    <row r="22" spans="1:14" ht="15" customHeight="1" x14ac:dyDescent="0.35">
      <c r="A22" s="58"/>
      <c r="B22" s="58"/>
      <c r="C22" s="35"/>
      <c r="D22" s="35"/>
      <c r="E22" s="35"/>
      <c r="F22" s="35"/>
      <c r="G22" s="35"/>
      <c r="H22" s="35"/>
      <c r="I22" s="35"/>
      <c r="J22" s="35"/>
      <c r="K22" s="46"/>
      <c r="L22" s="46"/>
      <c r="M22" s="46"/>
      <c r="N22" s="72"/>
    </row>
    <row r="23" spans="1:14" ht="15" customHeight="1" x14ac:dyDescent="0.35">
      <c r="A23" s="85" t="s">
        <v>73</v>
      </c>
      <c r="B23" s="85"/>
      <c r="C23" s="86"/>
      <c r="D23" s="86"/>
      <c r="E23" s="86"/>
      <c r="F23" s="86"/>
      <c r="G23" s="86"/>
      <c r="H23" s="86"/>
      <c r="I23" s="86"/>
      <c r="J23" s="86"/>
      <c r="K23" s="87"/>
      <c r="L23" s="87"/>
      <c r="M23" s="87"/>
      <c r="N23" s="88"/>
    </row>
    <row r="24" spans="1:14" ht="15" customHeight="1" x14ac:dyDescent="0.35">
      <c r="A24" s="46" t="s">
        <v>74</v>
      </c>
      <c r="B24" s="46"/>
      <c r="C24" s="34" t="s">
        <v>137</v>
      </c>
      <c r="D24" s="117">
        <v>0</v>
      </c>
      <c r="E24" s="117">
        <v>-154558</v>
      </c>
      <c r="F24" s="33">
        <f t="shared" ref="F24:I26" si="5">-SUMIFS(F$3:F$21,$C$3:$C$21,$C24)</f>
        <v>0</v>
      </c>
      <c r="G24" s="33">
        <f t="shared" si="5"/>
        <v>0</v>
      </c>
      <c r="H24" s="33">
        <f t="shared" si="5"/>
        <v>0</v>
      </c>
      <c r="I24" s="33">
        <f t="shared" si="5"/>
        <v>0</v>
      </c>
      <c r="J24" s="33">
        <f t="shared" ref="J24:J26" si="6">+E24-F24-G24-H24-I24</f>
        <v>-154558</v>
      </c>
      <c r="K24" s="46"/>
      <c r="L24" s="46"/>
      <c r="M24" s="46"/>
      <c r="N24" s="72"/>
    </row>
    <row r="25" spans="1:14" ht="15" customHeight="1" x14ac:dyDescent="0.35">
      <c r="A25" s="46" t="s">
        <v>136</v>
      </c>
      <c r="B25" s="46"/>
      <c r="C25" s="68" t="s">
        <v>136</v>
      </c>
      <c r="D25" s="117">
        <v>-63986</v>
      </c>
      <c r="E25" s="117">
        <v>-63986</v>
      </c>
      <c r="F25" s="33">
        <f t="shared" si="5"/>
        <v>-23209.18</v>
      </c>
      <c r="G25" s="33">
        <f>-SUMIFS(G$3:G$21,$C$3:$C$21,$C25)</f>
        <v>-6443.06</v>
      </c>
      <c r="H25" s="33">
        <f t="shared" si="5"/>
        <v>5324.2400000000016</v>
      </c>
      <c r="I25" s="33">
        <f t="shared" si="5"/>
        <v>0</v>
      </c>
      <c r="J25" s="33">
        <f t="shared" ref="J25" si="7">+E25-F25-G25-H25-I25</f>
        <v>-39658</v>
      </c>
      <c r="K25" s="46"/>
      <c r="L25" s="46"/>
      <c r="M25" s="46"/>
      <c r="N25" s="74"/>
    </row>
    <row r="26" spans="1:14" ht="15" customHeight="1" x14ac:dyDescent="0.35">
      <c r="A26" s="46" t="s">
        <v>58</v>
      </c>
      <c r="B26" s="46"/>
      <c r="C26" s="34" t="s">
        <v>58</v>
      </c>
      <c r="D26" s="117">
        <v>0</v>
      </c>
      <c r="E26" s="117">
        <v>0</v>
      </c>
      <c r="F26" s="33">
        <f t="shared" si="5"/>
        <v>0</v>
      </c>
      <c r="G26" s="33">
        <f t="shared" si="5"/>
        <v>0</v>
      </c>
      <c r="H26" s="33">
        <f t="shared" si="5"/>
        <v>0</v>
      </c>
      <c r="I26" s="33">
        <f t="shared" si="5"/>
        <v>0</v>
      </c>
      <c r="J26" s="33">
        <f t="shared" si="6"/>
        <v>0</v>
      </c>
      <c r="K26" s="46"/>
      <c r="L26" s="46"/>
      <c r="M26" s="46"/>
      <c r="N26" s="72"/>
    </row>
    <row r="27" spans="1:14" ht="15" customHeight="1" x14ac:dyDescent="0.35">
      <c r="A27" s="58" t="s">
        <v>43</v>
      </c>
      <c r="B27" s="46"/>
      <c r="C27" s="35"/>
      <c r="D27" s="48">
        <f t="shared" ref="D27:J27" si="8">SUM(D24:D26)</f>
        <v>-63986</v>
      </c>
      <c r="E27" s="48">
        <f t="shared" si="8"/>
        <v>-218544</v>
      </c>
      <c r="F27" s="48">
        <f t="shared" si="8"/>
        <v>-23209.18</v>
      </c>
      <c r="G27" s="48">
        <f t="shared" si="8"/>
        <v>-6443.06</v>
      </c>
      <c r="H27" s="48">
        <f t="shared" si="8"/>
        <v>5324.2400000000016</v>
      </c>
      <c r="I27" s="48">
        <f t="shared" si="8"/>
        <v>0</v>
      </c>
      <c r="J27" s="48">
        <f t="shared" si="8"/>
        <v>-194216</v>
      </c>
      <c r="K27" s="46"/>
      <c r="L27" s="46"/>
      <c r="M27" s="46"/>
      <c r="N27" s="75"/>
    </row>
    <row r="28" spans="1:14" ht="15" customHeight="1" x14ac:dyDescent="0.35">
      <c r="A28" s="58" t="s">
        <v>76</v>
      </c>
      <c r="B28" s="58"/>
      <c r="C28" s="35"/>
      <c r="D28" s="48">
        <f t="shared" ref="D28:J28" si="9">+D27+D21</f>
        <v>0</v>
      </c>
      <c r="E28" s="48">
        <f t="shared" si="9"/>
        <v>0</v>
      </c>
      <c r="F28" s="48">
        <f t="shared" si="9"/>
        <v>0</v>
      </c>
      <c r="G28" s="48">
        <f t="shared" si="9"/>
        <v>0</v>
      </c>
      <c r="H28" s="48">
        <f t="shared" si="9"/>
        <v>0</v>
      </c>
      <c r="I28" s="48">
        <f t="shared" si="9"/>
        <v>0</v>
      </c>
      <c r="J28" s="48">
        <f t="shared" si="9"/>
        <v>0</v>
      </c>
      <c r="K28" s="76"/>
      <c r="L28" s="46"/>
      <c r="M28" s="46"/>
      <c r="N28" s="72"/>
    </row>
    <row r="29" spans="1:14" ht="15" customHeight="1" x14ac:dyDescent="0.35">
      <c r="A29" s="46" t="s">
        <v>77</v>
      </c>
      <c r="B29" s="46"/>
      <c r="C29" s="35"/>
      <c r="D29" s="35"/>
      <c r="E29" s="35"/>
      <c r="F29" s="35"/>
      <c r="G29" s="35"/>
      <c r="H29" s="35"/>
      <c r="I29" s="35"/>
      <c r="J29" s="33">
        <f t="shared" ref="J29:J30" si="10">+E29-F29-G29-H29-I29</f>
        <v>0</v>
      </c>
      <c r="K29" s="46"/>
      <c r="L29" s="46"/>
      <c r="M29" s="46"/>
      <c r="N29" s="72"/>
    </row>
    <row r="30" spans="1:14" ht="15" customHeight="1" x14ac:dyDescent="0.35">
      <c r="A30" s="46" t="s">
        <v>78</v>
      </c>
      <c r="B30" s="46"/>
      <c r="C30" s="34"/>
      <c r="D30" s="33"/>
      <c r="E30" s="33"/>
      <c r="F30" s="34"/>
      <c r="G30" s="34"/>
      <c r="H30" s="34"/>
      <c r="I30" s="34"/>
      <c r="J30" s="33">
        <f t="shared" si="10"/>
        <v>0</v>
      </c>
      <c r="K30" s="46"/>
      <c r="L30" s="46"/>
      <c r="M30" s="46"/>
      <c r="N30" s="72"/>
    </row>
    <row r="31" spans="1:14" ht="15" customHeight="1" x14ac:dyDescent="0.35">
      <c r="A31" s="46"/>
      <c r="B31" s="46"/>
      <c r="C31" s="34"/>
      <c r="D31" s="34"/>
      <c r="E31" s="34"/>
      <c r="F31" s="34"/>
      <c r="G31" s="34"/>
      <c r="H31" s="34"/>
      <c r="I31" s="34"/>
      <c r="J31" s="34"/>
      <c r="K31" s="46"/>
      <c r="L31" s="46"/>
      <c r="M31" s="46"/>
      <c r="N31" s="72"/>
    </row>
    <row r="32" spans="1:14" ht="15" customHeight="1" x14ac:dyDescent="0.35">
      <c r="A32" s="46"/>
      <c r="B32" s="46"/>
      <c r="C32" s="34"/>
      <c r="D32" s="34"/>
      <c r="E32" s="34"/>
      <c r="F32" s="34"/>
      <c r="G32" s="34"/>
      <c r="H32" s="34"/>
      <c r="I32" s="34"/>
      <c r="J32" s="34"/>
      <c r="K32" s="46"/>
      <c r="L32" s="46"/>
      <c r="M32" s="46"/>
      <c r="N32" s="72"/>
    </row>
    <row r="33" spans="1:14" ht="15" customHeight="1" x14ac:dyDescent="0.35">
      <c r="A33" s="46"/>
      <c r="B33" s="46"/>
      <c r="C33" s="34"/>
      <c r="D33" s="34"/>
      <c r="E33" s="34"/>
      <c r="F33" s="34"/>
      <c r="G33" s="34"/>
      <c r="H33" s="34"/>
      <c r="I33" s="34"/>
      <c r="J33" s="34"/>
      <c r="K33" s="46"/>
      <c r="L33" s="46"/>
      <c r="M33" s="46"/>
      <c r="N33" s="72"/>
    </row>
    <row r="34" spans="1:14" ht="15" customHeight="1" x14ac:dyDescent="0.35">
      <c r="A34" s="58" t="s">
        <v>79</v>
      </c>
      <c r="B34" s="58"/>
      <c r="C34" s="35"/>
      <c r="D34" s="48">
        <f>SUM(D28:D33)</f>
        <v>0</v>
      </c>
      <c r="E34" s="48">
        <f>SUM(E28:E33)</f>
        <v>0</v>
      </c>
      <c r="F34" s="48">
        <f>SUM(F28:F33)</f>
        <v>0</v>
      </c>
      <c r="G34" s="48">
        <f t="shared" ref="G34:H34" si="11">SUM(G28:G33)</f>
        <v>0</v>
      </c>
      <c r="H34" s="48">
        <f t="shared" si="11"/>
        <v>0</v>
      </c>
      <c r="I34" s="48">
        <f t="shared" ref="I34:J34" si="12">SUM(I28:I33)</f>
        <v>0</v>
      </c>
      <c r="J34" s="48">
        <f t="shared" si="12"/>
        <v>0</v>
      </c>
      <c r="K34" s="46"/>
      <c r="L34" s="46"/>
      <c r="M34" s="46"/>
      <c r="N34" s="72"/>
    </row>
    <row r="35" spans="1:14" ht="15" customHeight="1" x14ac:dyDescent="0.35">
      <c r="C35" s="67"/>
      <c r="D35" s="67"/>
      <c r="E35" s="67"/>
      <c r="F35" s="67"/>
      <c r="G35" s="67"/>
      <c r="H35" s="67"/>
      <c r="I35" s="67"/>
      <c r="J35" s="67"/>
      <c r="N35" s="79"/>
    </row>
    <row r="36" spans="1:14" ht="15" customHeight="1" x14ac:dyDescent="0.35">
      <c r="C36" s="67"/>
      <c r="D36" s="67"/>
      <c r="E36" s="67"/>
      <c r="F36" s="67"/>
      <c r="G36" s="67"/>
      <c r="H36" s="67"/>
      <c r="I36" s="67"/>
      <c r="J36" s="67"/>
      <c r="N36" s="79"/>
    </row>
    <row r="37" spans="1:14" ht="15" customHeight="1" x14ac:dyDescent="0.35">
      <c r="C37" s="77"/>
      <c r="D37" s="77" t="s">
        <v>80</v>
      </c>
      <c r="E37" s="77" t="s">
        <v>80</v>
      </c>
      <c r="F37" s="77"/>
      <c r="G37" s="77"/>
      <c r="H37" s="77"/>
      <c r="I37" s="77"/>
      <c r="J37" s="77"/>
      <c r="N37" s="79"/>
    </row>
    <row r="38" spans="1:14" ht="15" customHeight="1" x14ac:dyDescent="0.35">
      <c r="N38" s="79"/>
    </row>
    <row r="39" spans="1:14" ht="15" customHeight="1" x14ac:dyDescent="0.35">
      <c r="N39" s="79"/>
    </row>
    <row r="40" spans="1:14" ht="15" customHeight="1" x14ac:dyDescent="0.35">
      <c r="C40" s="67" t="s">
        <v>55</v>
      </c>
      <c r="D40" s="67">
        <f t="shared" ref="D40:E42" si="13">SUMIFS($E$3:$E$34,$C$3:$C$34,B40)</f>
        <v>0</v>
      </c>
      <c r="E40" s="67">
        <f t="shared" si="13"/>
        <v>0</v>
      </c>
      <c r="F40" s="80"/>
      <c r="G40" s="80"/>
      <c r="H40" s="80"/>
      <c r="I40" s="80"/>
      <c r="J40" s="80"/>
      <c r="N40" s="79"/>
    </row>
    <row r="41" spans="1:14" x14ac:dyDescent="0.35">
      <c r="C41" s="67" t="s">
        <v>60</v>
      </c>
      <c r="D41" s="67">
        <f t="shared" si="13"/>
        <v>0</v>
      </c>
      <c r="E41" s="67">
        <f t="shared" si="13"/>
        <v>0</v>
      </c>
      <c r="N41" s="79"/>
    </row>
    <row r="42" spans="1:14" x14ac:dyDescent="0.35">
      <c r="C42" s="67" t="s">
        <v>58</v>
      </c>
      <c r="D42" s="67">
        <f t="shared" si="13"/>
        <v>0</v>
      </c>
      <c r="E42" s="67">
        <f t="shared" si="13"/>
        <v>0</v>
      </c>
      <c r="F42" s="78"/>
      <c r="G42" s="78"/>
      <c r="H42" s="78"/>
      <c r="I42" s="78"/>
      <c r="J42" s="78"/>
      <c r="N42" s="81"/>
    </row>
    <row r="43" spans="1:14" ht="15" customHeight="1" x14ac:dyDescent="0.35"/>
    <row r="44" spans="1:14" ht="15" customHeight="1" x14ac:dyDescent="0.35"/>
    <row r="45" spans="1:14" ht="15" customHeight="1" x14ac:dyDescent="0.35"/>
    <row r="46" spans="1:14" ht="15" customHeight="1" x14ac:dyDescent="0.35"/>
    <row r="47" spans="1:14" ht="15" customHeight="1" x14ac:dyDescent="0.35"/>
    <row r="48" spans="1:14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72" spans="1:6" x14ac:dyDescent="0.35">
      <c r="D72" s="22"/>
      <c r="E72" s="22"/>
    </row>
    <row r="75" spans="1:6" x14ac:dyDescent="0.35">
      <c r="D75" s="22" t="e">
        <f>#REF!-D41</f>
        <v>#REF!</v>
      </c>
      <c r="E75" s="22" t="e">
        <f>#REF!-E41</f>
        <v>#REF!</v>
      </c>
    </row>
    <row r="76" spans="1:6" x14ac:dyDescent="0.35">
      <c r="F76" s="20">
        <v>75</v>
      </c>
    </row>
    <row r="77" spans="1:6" x14ac:dyDescent="0.35">
      <c r="A77" s="36" t="s">
        <v>81</v>
      </c>
      <c r="D77" s="32">
        <v>108000</v>
      </c>
      <c r="E77" s="32">
        <v>108000</v>
      </c>
      <c r="F77" s="20">
        <v>55</v>
      </c>
    </row>
    <row r="78" spans="1:6" x14ac:dyDescent="0.35">
      <c r="A78" s="36" t="s">
        <v>82</v>
      </c>
      <c r="D78" s="32">
        <v>75000</v>
      </c>
      <c r="E78" s="32">
        <v>75000</v>
      </c>
    </row>
    <row r="79" spans="1:6" x14ac:dyDescent="0.35">
      <c r="A79" s="36" t="s">
        <v>83</v>
      </c>
      <c r="D79" s="32"/>
      <c r="E79" s="32"/>
    </row>
    <row r="80" spans="1:6" x14ac:dyDescent="0.35">
      <c r="A80" s="37" t="s">
        <v>84</v>
      </c>
      <c r="B80" s="19"/>
      <c r="D80" s="32">
        <v>10000</v>
      </c>
      <c r="E80" s="32">
        <v>10000</v>
      </c>
    </row>
    <row r="81" spans="1:6" x14ac:dyDescent="0.35">
      <c r="A81" s="36" t="s">
        <v>85</v>
      </c>
      <c r="D81" s="32">
        <v>12000</v>
      </c>
      <c r="E81" s="32">
        <v>12000</v>
      </c>
    </row>
    <row r="82" spans="1:6" x14ac:dyDescent="0.35">
      <c r="A82" s="36" t="s">
        <v>86</v>
      </c>
      <c r="D82" s="32">
        <v>73000</v>
      </c>
      <c r="E82" s="32">
        <v>73000</v>
      </c>
    </row>
    <row r="84" spans="1:6" x14ac:dyDescent="0.35">
      <c r="A84" s="38" t="s">
        <v>87</v>
      </c>
      <c r="B84" s="53"/>
      <c r="D84" s="39">
        <v>22000</v>
      </c>
      <c r="E84" s="39">
        <v>22000</v>
      </c>
    </row>
    <row r="85" spans="1:6" x14ac:dyDescent="0.35">
      <c r="A85" s="38" t="s">
        <v>88</v>
      </c>
      <c r="B85" s="53"/>
      <c r="D85" s="39">
        <v>24000</v>
      </c>
      <c r="E85" s="39">
        <v>24000</v>
      </c>
    </row>
    <row r="86" spans="1:6" x14ac:dyDescent="0.35">
      <c r="A86" s="38" t="s">
        <v>89</v>
      </c>
      <c r="B86" s="53"/>
      <c r="D86" s="39">
        <v>16666</v>
      </c>
      <c r="E86" s="39">
        <v>16666</v>
      </c>
    </row>
    <row r="87" spans="1:6" x14ac:dyDescent="0.35">
      <c r="A87" s="38" t="s">
        <v>82</v>
      </c>
      <c r="B87" s="53"/>
      <c r="D87" s="40">
        <v>75000</v>
      </c>
      <c r="E87" s="40">
        <v>75000</v>
      </c>
    </row>
    <row r="88" spans="1:6" x14ac:dyDescent="0.35">
      <c r="A88" s="38" t="s">
        <v>90</v>
      </c>
      <c r="B88" s="53"/>
      <c r="D88" s="38" t="s">
        <v>90</v>
      </c>
      <c r="E88" s="38" t="s">
        <v>90</v>
      </c>
    </row>
    <row r="89" spans="1:6" x14ac:dyDescent="0.35">
      <c r="A89" s="38" t="s">
        <v>91</v>
      </c>
      <c r="B89" s="53"/>
      <c r="D89" s="39">
        <v>100000</v>
      </c>
      <c r="E89" s="39">
        <v>100000</v>
      </c>
    </row>
    <row r="90" spans="1:6" x14ac:dyDescent="0.35">
      <c r="A90" s="38"/>
      <c r="B90" s="53"/>
      <c r="D90" s="39"/>
      <c r="E90" s="39"/>
    </row>
    <row r="91" spans="1:6" x14ac:dyDescent="0.35">
      <c r="A91" s="38" t="s">
        <v>92</v>
      </c>
      <c r="B91" s="53"/>
      <c r="D91" s="39">
        <v>40334</v>
      </c>
      <c r="E91" s="39">
        <v>40334</v>
      </c>
      <c r="F91" s="20">
        <f>313-278</f>
        <v>35</v>
      </c>
    </row>
    <row r="93" spans="1:6" x14ac:dyDescent="0.35">
      <c r="A93" s="41" t="s">
        <v>93</v>
      </c>
      <c r="B93" s="41"/>
    </row>
    <row r="94" spans="1:6" x14ac:dyDescent="0.35">
      <c r="A94" s="36" t="s">
        <v>81</v>
      </c>
      <c r="D94" s="32">
        <v>108000</v>
      </c>
      <c r="E94" s="32">
        <v>108000</v>
      </c>
    </row>
    <row r="95" spans="1:6" x14ac:dyDescent="0.35">
      <c r="A95" s="36" t="s">
        <v>82</v>
      </c>
      <c r="D95" s="32">
        <v>65000</v>
      </c>
      <c r="E95" s="32">
        <v>65000</v>
      </c>
    </row>
    <row r="96" spans="1:6" x14ac:dyDescent="0.35">
      <c r="A96" s="36" t="s">
        <v>83</v>
      </c>
      <c r="D96" s="32">
        <v>10000</v>
      </c>
      <c r="E96" s="32">
        <v>10000</v>
      </c>
    </row>
    <row r="97" spans="1:5" x14ac:dyDescent="0.35">
      <c r="A97" s="37" t="s">
        <v>84</v>
      </c>
      <c r="B97" s="19"/>
      <c r="D97" s="32">
        <v>10000</v>
      </c>
      <c r="E97" s="32">
        <v>10000</v>
      </c>
    </row>
    <row r="98" spans="1:5" x14ac:dyDescent="0.35">
      <c r="A98" s="36" t="s">
        <v>85</v>
      </c>
      <c r="D98" s="32">
        <v>12000</v>
      </c>
      <c r="E98" s="32">
        <v>12000</v>
      </c>
    </row>
    <row r="99" spans="1:5" x14ac:dyDescent="0.35">
      <c r="A99" s="36" t="s">
        <v>86</v>
      </c>
      <c r="D99" s="32">
        <v>28000</v>
      </c>
      <c r="E99" s="32">
        <v>28000</v>
      </c>
    </row>
    <row r="100" spans="1:5" x14ac:dyDescent="0.35">
      <c r="A100" s="42" t="s">
        <v>74</v>
      </c>
      <c r="B100" s="54"/>
      <c r="D100" s="43">
        <v>-233000</v>
      </c>
      <c r="E100" s="43">
        <v>-233000</v>
      </c>
    </row>
  </sheetData>
  <dataValidations count="1">
    <dataValidation allowBlank="1" showInputMessage="1" showErrorMessage="1" sqref="M2" xr:uid="{446D1FDF-D0F2-42B8-813B-31B1C03A5833}"/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6A94-03A4-4D2B-B3CA-E46F74FD515E}">
  <sheetPr>
    <tabColor rgb="FF92D050"/>
  </sheetPr>
  <dimension ref="A1:V64"/>
  <sheetViews>
    <sheetView topLeftCell="I1" workbookViewId="0">
      <selection activeCell="R13" sqref="R13"/>
    </sheetView>
  </sheetViews>
  <sheetFormatPr defaultRowHeight="14.5" x14ac:dyDescent="0.35"/>
  <cols>
    <col min="1" max="1" width="8" bestFit="1" customWidth="1"/>
    <col min="2" max="2" width="17.54296875" bestFit="1" customWidth="1"/>
    <col min="3" max="3" width="8.1796875" bestFit="1" customWidth="1"/>
    <col min="4" max="4" width="25.81640625" bestFit="1" customWidth="1"/>
    <col min="5" max="5" width="15.26953125" bestFit="1" customWidth="1"/>
    <col min="6" max="6" width="34.7265625" bestFit="1" customWidth="1"/>
    <col min="7" max="7" width="18.453125" bestFit="1" customWidth="1"/>
    <col min="8" max="8" width="13" bestFit="1" customWidth="1"/>
    <col min="9" max="9" width="10.453125" bestFit="1" customWidth="1"/>
    <col min="10" max="10" width="55" bestFit="1" customWidth="1"/>
    <col min="11" max="11" width="11.26953125" bestFit="1" customWidth="1"/>
    <col min="12" max="12" width="14.26953125" bestFit="1" customWidth="1"/>
    <col min="13" max="13" width="7.1796875" bestFit="1" customWidth="1"/>
    <col min="14" max="14" width="15.7265625" bestFit="1" customWidth="1"/>
    <col min="15" max="16" width="9.26953125" customWidth="1"/>
    <col min="17" max="17" width="9.81640625" customWidth="1"/>
    <col min="18" max="18" width="9.26953125" customWidth="1"/>
    <col min="19" max="19" width="38.453125" customWidth="1"/>
    <col min="20" max="20" width="12.1796875" customWidth="1"/>
    <col min="21" max="21" width="37.81640625" bestFit="1" customWidth="1"/>
  </cols>
  <sheetData>
    <row r="1" spans="1:21" x14ac:dyDescent="0.35">
      <c r="A1" s="111" t="s">
        <v>94</v>
      </c>
      <c r="B1" s="111" t="s">
        <v>95</v>
      </c>
      <c r="C1" s="111" t="s">
        <v>96</v>
      </c>
      <c r="D1" s="111" t="s">
        <v>97</v>
      </c>
      <c r="E1" s="111" t="s">
        <v>98</v>
      </c>
      <c r="F1" s="111" t="s">
        <v>99</v>
      </c>
      <c r="G1" s="111" t="s">
        <v>100</v>
      </c>
      <c r="H1" s="111" t="s">
        <v>101</v>
      </c>
      <c r="I1" s="111" t="s">
        <v>111</v>
      </c>
      <c r="J1" s="111" t="s">
        <v>52</v>
      </c>
      <c r="K1" s="111" t="s">
        <v>102</v>
      </c>
      <c r="L1" s="111" t="s">
        <v>103</v>
      </c>
      <c r="M1" s="111" t="s">
        <v>104</v>
      </c>
      <c r="N1" s="111" t="s">
        <v>105</v>
      </c>
      <c r="O1" s="111" t="s">
        <v>112</v>
      </c>
      <c r="P1" s="111" t="s">
        <v>113</v>
      </c>
      <c r="Q1" s="111" t="s">
        <v>106</v>
      </c>
      <c r="R1" s="111" t="s">
        <v>107</v>
      </c>
      <c r="S1" s="111" t="s">
        <v>108</v>
      </c>
      <c r="T1" s="112" t="s">
        <v>109</v>
      </c>
      <c r="U1" s="29" t="s">
        <v>110</v>
      </c>
    </row>
    <row r="2" spans="1:21" x14ac:dyDescent="0.35">
      <c r="A2" s="51" t="s">
        <v>156</v>
      </c>
      <c r="B2" s="51" t="s">
        <v>157</v>
      </c>
      <c r="C2" s="51" t="s">
        <v>158</v>
      </c>
      <c r="D2" s="51" t="s">
        <v>159</v>
      </c>
      <c r="E2" s="51" t="s">
        <v>160</v>
      </c>
      <c r="F2" s="51" t="s">
        <v>161</v>
      </c>
      <c r="G2" s="51">
        <v>7500128738</v>
      </c>
      <c r="H2" s="15">
        <v>30191764</v>
      </c>
      <c r="I2" s="51" t="s">
        <v>152</v>
      </c>
      <c r="J2" s="16" t="s">
        <v>166</v>
      </c>
      <c r="K2" s="16" t="s">
        <v>167</v>
      </c>
      <c r="L2" s="52" t="s">
        <v>152</v>
      </c>
      <c r="O2" s="51" t="s">
        <v>152</v>
      </c>
      <c r="P2" s="51"/>
      <c r="Q2" s="51">
        <v>46135</v>
      </c>
      <c r="R2" s="51">
        <v>202701</v>
      </c>
      <c r="S2" s="51" t="s">
        <v>162</v>
      </c>
      <c r="T2" s="51">
        <v>-800</v>
      </c>
      <c r="U2" s="30" t="s">
        <v>168</v>
      </c>
    </row>
    <row r="3" spans="1:21" x14ac:dyDescent="0.35">
      <c r="A3" s="51" t="s">
        <v>156</v>
      </c>
      <c r="B3" s="51" t="s">
        <v>157</v>
      </c>
      <c r="C3" s="51" t="s">
        <v>163</v>
      </c>
      <c r="D3" s="51" t="s">
        <v>164</v>
      </c>
      <c r="E3" s="51" t="s">
        <v>160</v>
      </c>
      <c r="F3" s="51" t="s">
        <v>161</v>
      </c>
      <c r="G3" s="51">
        <v>7500128738</v>
      </c>
      <c r="H3" s="51">
        <v>30218595</v>
      </c>
      <c r="I3" s="51" t="s">
        <v>152</v>
      </c>
      <c r="J3" s="51" t="s">
        <v>145</v>
      </c>
      <c r="K3" s="51" t="s">
        <v>146</v>
      </c>
      <c r="L3" s="52" t="s">
        <v>152</v>
      </c>
      <c r="O3" s="51" t="s">
        <v>152</v>
      </c>
      <c r="P3" s="51"/>
      <c r="Q3" s="51">
        <v>46135</v>
      </c>
      <c r="R3" s="51">
        <v>202701</v>
      </c>
      <c r="S3" s="51" t="s">
        <v>165</v>
      </c>
      <c r="T3" s="51">
        <v>-120</v>
      </c>
      <c r="U3" s="30" t="s">
        <v>168</v>
      </c>
    </row>
    <row r="4" spans="1:21" x14ac:dyDescent="0.35">
      <c r="A4" s="16" t="s">
        <v>156</v>
      </c>
      <c r="B4" s="16" t="s">
        <v>157</v>
      </c>
      <c r="C4" s="16" t="s">
        <v>148</v>
      </c>
      <c r="D4" s="16" t="s">
        <v>149</v>
      </c>
      <c r="E4" s="51" t="s">
        <v>160</v>
      </c>
      <c r="F4" s="51" t="s">
        <v>161</v>
      </c>
      <c r="G4" s="15">
        <v>2100633605</v>
      </c>
      <c r="H4" s="15">
        <v>30225885</v>
      </c>
      <c r="I4" s="16" t="s">
        <v>150</v>
      </c>
      <c r="J4" s="16" t="s">
        <v>151</v>
      </c>
      <c r="K4" s="16" t="s">
        <v>144</v>
      </c>
      <c r="L4" s="16"/>
      <c r="M4" s="16"/>
      <c r="N4" s="16" t="s">
        <v>152</v>
      </c>
      <c r="O4" s="16" t="s">
        <v>152</v>
      </c>
      <c r="P4" s="16"/>
      <c r="Q4" s="14">
        <v>46126</v>
      </c>
      <c r="R4" s="15">
        <v>202612</v>
      </c>
      <c r="S4" s="16" t="s">
        <v>153</v>
      </c>
      <c r="T4" s="17">
        <v>2000</v>
      </c>
      <c r="U4" s="30" t="s">
        <v>144</v>
      </c>
    </row>
    <row r="5" spans="1:21" x14ac:dyDescent="0.35">
      <c r="A5" s="16" t="s">
        <v>156</v>
      </c>
      <c r="B5" s="16" t="s">
        <v>157</v>
      </c>
      <c r="C5" s="16" t="s">
        <v>148</v>
      </c>
      <c r="D5" s="16" t="s">
        <v>149</v>
      </c>
      <c r="E5" s="51" t="s">
        <v>160</v>
      </c>
      <c r="F5" s="51" t="s">
        <v>161</v>
      </c>
      <c r="G5" s="15">
        <v>2100634835</v>
      </c>
      <c r="H5" s="15">
        <v>30223560</v>
      </c>
      <c r="I5" s="16" t="s">
        <v>150</v>
      </c>
      <c r="J5" s="16" t="s">
        <v>154</v>
      </c>
      <c r="K5" s="16" t="s">
        <v>147</v>
      </c>
      <c r="L5" s="16"/>
      <c r="M5" s="16"/>
      <c r="N5" s="16" t="s">
        <v>152</v>
      </c>
      <c r="O5" s="16" t="s">
        <v>152</v>
      </c>
      <c r="P5" s="16"/>
      <c r="Q5" s="14">
        <v>46127</v>
      </c>
      <c r="R5" s="15">
        <v>202701</v>
      </c>
      <c r="S5" s="16" t="s">
        <v>155</v>
      </c>
      <c r="T5" s="17">
        <v>2800</v>
      </c>
      <c r="U5" s="30" t="s">
        <v>71</v>
      </c>
    </row>
    <row r="6" spans="1:21" x14ac:dyDescent="0.35">
      <c r="A6" s="16" t="s">
        <v>156</v>
      </c>
      <c r="B6" s="16" t="s">
        <v>157</v>
      </c>
      <c r="C6" s="16" t="s">
        <v>148</v>
      </c>
      <c r="D6" s="16" t="s">
        <v>149</v>
      </c>
      <c r="E6" s="51" t="s">
        <v>160</v>
      </c>
      <c r="F6" s="51" t="s">
        <v>161</v>
      </c>
      <c r="G6" s="15">
        <v>2100648176</v>
      </c>
      <c r="H6" s="15">
        <v>30198674</v>
      </c>
      <c r="I6" s="16" t="s">
        <v>150</v>
      </c>
      <c r="J6" s="16" t="s">
        <v>169</v>
      </c>
      <c r="K6" s="16" t="s">
        <v>170</v>
      </c>
      <c r="L6" s="16"/>
      <c r="M6" s="16"/>
      <c r="N6" s="16" t="s">
        <v>152</v>
      </c>
      <c r="O6" s="16" t="s">
        <v>152</v>
      </c>
      <c r="P6" s="16"/>
      <c r="Q6" s="14">
        <v>46150</v>
      </c>
      <c r="R6" s="15">
        <v>202701</v>
      </c>
      <c r="S6" s="16" t="s">
        <v>171</v>
      </c>
      <c r="T6" s="17">
        <v>6443.06</v>
      </c>
      <c r="U6" s="30" t="s">
        <v>34</v>
      </c>
    </row>
    <row r="7" spans="1:21" x14ac:dyDescent="0.35">
      <c r="A7" s="16" t="s">
        <v>156</v>
      </c>
      <c r="B7" s="16" t="s">
        <v>157</v>
      </c>
      <c r="C7" s="16" t="s">
        <v>148</v>
      </c>
      <c r="D7" s="16" t="s">
        <v>149</v>
      </c>
      <c r="E7" s="51" t="s">
        <v>160</v>
      </c>
      <c r="F7" s="51" t="s">
        <v>161</v>
      </c>
      <c r="G7" s="15">
        <v>2100648181</v>
      </c>
      <c r="H7" s="15">
        <v>30198674</v>
      </c>
      <c r="I7" s="16" t="s">
        <v>150</v>
      </c>
      <c r="J7" s="16" t="s">
        <v>169</v>
      </c>
      <c r="K7" s="16" t="s">
        <v>170</v>
      </c>
      <c r="L7" s="16"/>
      <c r="M7" s="16"/>
      <c r="N7" s="16" t="s">
        <v>152</v>
      </c>
      <c r="O7" s="16" t="s">
        <v>152</v>
      </c>
      <c r="P7" s="16"/>
      <c r="Q7" s="14">
        <v>46150</v>
      </c>
      <c r="R7" s="15">
        <v>202701</v>
      </c>
      <c r="S7" s="16" t="s">
        <v>171</v>
      </c>
      <c r="T7" s="17">
        <v>6443.06</v>
      </c>
      <c r="U7" s="30" t="s">
        <v>34</v>
      </c>
    </row>
    <row r="8" spans="1:21" x14ac:dyDescent="0.35">
      <c r="A8" s="16" t="s">
        <v>156</v>
      </c>
      <c r="B8" s="16" t="s">
        <v>157</v>
      </c>
      <c r="C8" s="16" t="s">
        <v>148</v>
      </c>
      <c r="D8" s="16" t="s">
        <v>149</v>
      </c>
      <c r="E8" s="16" t="s">
        <v>178</v>
      </c>
      <c r="F8" s="16" t="s">
        <v>179</v>
      </c>
      <c r="G8" s="15">
        <v>2100668398</v>
      </c>
      <c r="H8" s="15">
        <v>30198674</v>
      </c>
      <c r="I8" s="16"/>
      <c r="J8" s="16" t="s">
        <v>169</v>
      </c>
      <c r="K8" s="16" t="s">
        <v>170</v>
      </c>
      <c r="L8" s="16"/>
      <c r="M8" s="16"/>
      <c r="N8" s="16" t="s">
        <v>152</v>
      </c>
      <c r="O8" s="16" t="s">
        <v>152</v>
      </c>
      <c r="P8" s="16"/>
      <c r="Q8" s="14">
        <v>46174</v>
      </c>
      <c r="R8" s="15">
        <v>202703</v>
      </c>
      <c r="S8" s="16" t="s">
        <v>171</v>
      </c>
      <c r="T8" s="17">
        <v>6443.06</v>
      </c>
      <c r="U8" s="30" t="s">
        <v>34</v>
      </c>
    </row>
    <row r="9" spans="1:21" x14ac:dyDescent="0.35">
      <c r="A9" s="16"/>
      <c r="B9" s="16"/>
      <c r="C9" s="16"/>
      <c r="D9" s="16"/>
      <c r="E9" s="16"/>
      <c r="F9" s="16"/>
      <c r="G9" s="15"/>
      <c r="H9" s="15"/>
      <c r="I9" s="16"/>
      <c r="J9" s="16"/>
      <c r="K9" s="16"/>
      <c r="L9" s="16"/>
      <c r="M9" s="16"/>
      <c r="N9" s="14"/>
      <c r="O9" s="15"/>
      <c r="P9" s="15"/>
      <c r="Q9" s="15"/>
      <c r="R9" s="15"/>
      <c r="S9" s="16"/>
    </row>
    <row r="10" spans="1:21" x14ac:dyDescent="0.35">
      <c r="A10" s="16"/>
      <c r="B10" s="16"/>
      <c r="C10" s="16"/>
      <c r="D10" s="16"/>
      <c r="E10" s="16"/>
      <c r="F10" s="16"/>
      <c r="G10" s="15"/>
      <c r="H10" s="15"/>
      <c r="I10" s="16"/>
      <c r="J10" s="16"/>
      <c r="K10" s="16"/>
      <c r="L10" s="16"/>
      <c r="M10" s="16"/>
      <c r="N10" s="14"/>
      <c r="O10" s="15"/>
      <c r="P10" s="15"/>
      <c r="Q10" s="15"/>
      <c r="R10" s="15"/>
      <c r="S10" s="16"/>
    </row>
    <row r="11" spans="1:21" x14ac:dyDescent="0.35">
      <c r="A11" s="16"/>
      <c r="B11" s="16"/>
      <c r="C11" s="16"/>
      <c r="D11" s="16"/>
      <c r="E11" s="16"/>
      <c r="F11" s="16"/>
      <c r="G11" s="15"/>
      <c r="H11" s="15"/>
      <c r="I11" s="16"/>
      <c r="J11" s="16"/>
      <c r="K11" s="16"/>
      <c r="L11" s="16"/>
      <c r="M11" s="16"/>
      <c r="N11" s="14"/>
      <c r="O11" s="15"/>
      <c r="P11" s="15"/>
      <c r="Q11" s="15"/>
      <c r="R11" s="15"/>
      <c r="S11" s="16"/>
    </row>
    <row r="12" spans="1:21" x14ac:dyDescent="0.35">
      <c r="A12" s="16"/>
      <c r="B12" s="16"/>
      <c r="C12" s="16"/>
      <c r="D12" s="16"/>
      <c r="E12" s="16"/>
      <c r="F12" s="16"/>
      <c r="G12" s="15"/>
      <c r="H12" s="15"/>
      <c r="I12" s="16"/>
      <c r="J12" s="16"/>
      <c r="K12" s="16"/>
      <c r="L12" s="16"/>
      <c r="M12" s="16"/>
      <c r="N12" s="14"/>
      <c r="O12" s="15"/>
      <c r="P12" s="15"/>
      <c r="Q12" s="15"/>
      <c r="R12" s="15"/>
      <c r="S12" s="16"/>
    </row>
    <row r="13" spans="1:21" x14ac:dyDescent="0.35">
      <c r="A13" s="16"/>
      <c r="B13" s="16"/>
      <c r="C13" s="16"/>
      <c r="D13" s="16"/>
      <c r="E13" s="16"/>
      <c r="F13" s="16"/>
      <c r="G13" s="15"/>
      <c r="H13" s="15"/>
      <c r="I13" s="16"/>
      <c r="J13" s="16"/>
      <c r="K13" s="16"/>
      <c r="L13" s="16"/>
      <c r="M13" s="16"/>
      <c r="N13" s="14"/>
      <c r="O13" s="15"/>
      <c r="P13" s="15"/>
      <c r="Q13" s="15"/>
      <c r="R13" s="15"/>
      <c r="S13" s="16"/>
    </row>
    <row r="14" spans="1:21" x14ac:dyDescent="0.35">
      <c r="A14" s="16"/>
      <c r="B14" s="16"/>
      <c r="C14" s="16"/>
      <c r="D14" s="16"/>
      <c r="E14" s="16"/>
      <c r="F14" s="16"/>
      <c r="G14" s="15"/>
      <c r="H14" s="15"/>
      <c r="I14" s="16"/>
      <c r="J14" s="16"/>
      <c r="K14" s="16"/>
      <c r="L14" s="16"/>
      <c r="M14" s="16"/>
      <c r="N14" s="14"/>
      <c r="O14" s="15"/>
      <c r="P14" s="15"/>
      <c r="Q14" s="15"/>
      <c r="R14" s="15"/>
      <c r="S14" s="16"/>
    </row>
    <row r="15" spans="1:21" x14ac:dyDescent="0.35">
      <c r="A15" s="16"/>
      <c r="B15" s="16"/>
      <c r="C15" s="16"/>
      <c r="D15" s="16"/>
      <c r="E15" s="16"/>
      <c r="F15" s="16"/>
      <c r="G15" s="15"/>
      <c r="H15" s="15"/>
      <c r="I15" s="16"/>
      <c r="J15" s="16"/>
      <c r="K15" s="16"/>
      <c r="L15" s="16"/>
      <c r="M15" s="16"/>
      <c r="N15" s="14"/>
      <c r="O15" s="15"/>
      <c r="P15" s="15"/>
      <c r="Q15" s="15"/>
      <c r="R15" s="15"/>
      <c r="S15" s="16"/>
    </row>
    <row r="16" spans="1:21" x14ac:dyDescent="0.35">
      <c r="A16" s="16"/>
      <c r="B16" s="16"/>
      <c r="C16" s="16"/>
      <c r="D16" s="16"/>
      <c r="E16" s="16"/>
      <c r="F16" s="16"/>
      <c r="G16" s="15"/>
      <c r="H16" s="15"/>
      <c r="I16" s="16"/>
      <c r="J16" s="16"/>
      <c r="K16" s="16"/>
      <c r="L16" s="16"/>
      <c r="M16" s="16"/>
      <c r="N16" s="14"/>
      <c r="O16" s="15"/>
      <c r="P16" s="15"/>
      <c r="Q16" s="15"/>
      <c r="R16" s="15"/>
      <c r="S16" s="16"/>
    </row>
    <row r="17" spans="1:19" x14ac:dyDescent="0.35">
      <c r="A17" s="16"/>
      <c r="B17" s="16"/>
      <c r="C17" s="16"/>
      <c r="D17" s="16"/>
      <c r="E17" s="16"/>
      <c r="F17" s="16"/>
      <c r="G17" s="15"/>
      <c r="H17" s="15"/>
      <c r="I17" s="16"/>
      <c r="J17" s="16"/>
      <c r="K17" s="16"/>
      <c r="L17" s="16"/>
      <c r="M17" s="16"/>
      <c r="N17" s="14"/>
      <c r="O17" s="15"/>
      <c r="P17" s="15"/>
      <c r="Q17" s="15"/>
      <c r="R17" s="15"/>
      <c r="S17" s="16"/>
    </row>
    <row r="18" spans="1:19" x14ac:dyDescent="0.3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1"/>
      <c r="P18" s="51"/>
      <c r="Q18" s="51"/>
      <c r="R18" s="51"/>
      <c r="S18" s="51"/>
    </row>
    <row r="19" spans="1:19" x14ac:dyDescent="0.3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1"/>
      <c r="P19" s="51"/>
      <c r="Q19" s="51"/>
      <c r="R19" s="51"/>
      <c r="S19" s="51"/>
    </row>
    <row r="20" spans="1:19" x14ac:dyDescent="0.3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51"/>
      <c r="P20" s="51"/>
      <c r="Q20" s="51"/>
      <c r="R20" s="51"/>
      <c r="S20" s="51"/>
    </row>
    <row r="21" spans="1:19" x14ac:dyDescent="0.3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51"/>
      <c r="P21" s="51"/>
      <c r="Q21" s="51"/>
      <c r="R21" s="51"/>
      <c r="S21" s="51"/>
    </row>
    <row r="22" spans="1:19" x14ac:dyDescent="0.3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  <c r="O22" s="51"/>
      <c r="P22" s="51"/>
      <c r="Q22" s="51"/>
      <c r="R22" s="51"/>
      <c r="S22" s="51"/>
    </row>
    <row r="23" spans="1:19" x14ac:dyDescent="0.3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  <c r="O23" s="51"/>
      <c r="P23" s="51"/>
      <c r="Q23" s="51"/>
      <c r="R23" s="51"/>
      <c r="S23" s="51"/>
    </row>
    <row r="24" spans="1:19" x14ac:dyDescent="0.3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  <c r="O24" s="51"/>
      <c r="P24" s="51"/>
      <c r="Q24" s="51"/>
      <c r="R24" s="51"/>
      <c r="S24" s="51"/>
    </row>
    <row r="25" spans="1:19" x14ac:dyDescent="0.35">
      <c r="A25" s="63"/>
      <c r="B25" s="63"/>
      <c r="C25" s="63"/>
      <c r="D25" s="63"/>
      <c r="E25" s="63"/>
      <c r="F25" s="63"/>
      <c r="G25" s="64"/>
      <c r="H25" s="64"/>
      <c r="I25" s="63"/>
      <c r="J25" s="63"/>
      <c r="K25" s="63"/>
      <c r="L25" s="63"/>
      <c r="M25" s="63"/>
      <c r="N25" s="65"/>
      <c r="O25" s="64"/>
      <c r="P25" s="64"/>
      <c r="Q25" s="64"/>
      <c r="R25" s="64"/>
      <c r="S25" s="63"/>
    </row>
    <row r="26" spans="1:19" x14ac:dyDescent="0.35">
      <c r="A26" s="63"/>
      <c r="B26" s="63"/>
      <c r="C26" s="63"/>
      <c r="D26" s="63"/>
      <c r="E26" s="63"/>
      <c r="F26" s="63"/>
      <c r="G26" s="64"/>
      <c r="H26" s="64"/>
      <c r="I26" s="63"/>
      <c r="J26" s="63"/>
      <c r="K26" s="63"/>
      <c r="L26" s="63"/>
      <c r="M26" s="63"/>
      <c r="N26" s="65"/>
      <c r="O26" s="64"/>
      <c r="P26" s="64"/>
      <c r="Q26" s="64"/>
      <c r="R26" s="64"/>
      <c r="S26" s="63"/>
    </row>
    <row r="27" spans="1:19" x14ac:dyDescent="0.35">
      <c r="A27" s="16"/>
      <c r="B27" s="16"/>
      <c r="C27" s="16"/>
      <c r="D27" s="16"/>
      <c r="E27" s="16"/>
      <c r="F27" s="16"/>
      <c r="G27" s="15"/>
      <c r="H27" s="15"/>
      <c r="I27" s="16"/>
      <c r="J27" s="16"/>
      <c r="K27" s="16"/>
      <c r="L27" s="16"/>
      <c r="M27" s="16"/>
      <c r="N27" s="14"/>
      <c r="O27" s="15"/>
      <c r="P27" s="15"/>
      <c r="Q27" s="15"/>
      <c r="R27" s="15"/>
      <c r="S27" s="16"/>
    </row>
    <row r="28" spans="1:19" x14ac:dyDescent="0.35">
      <c r="A28" s="16"/>
      <c r="B28" s="16"/>
      <c r="C28" s="16"/>
      <c r="D28" s="16"/>
      <c r="E28" s="16"/>
      <c r="F28" s="16"/>
      <c r="G28" s="15"/>
      <c r="H28" s="15"/>
      <c r="I28" s="16"/>
      <c r="J28" s="16"/>
      <c r="K28" s="16"/>
      <c r="L28" s="16"/>
      <c r="M28" s="16"/>
      <c r="N28" s="14"/>
      <c r="O28" s="15"/>
      <c r="P28" s="15"/>
      <c r="Q28" s="15"/>
      <c r="R28" s="15"/>
      <c r="S28" s="16"/>
    </row>
    <row r="29" spans="1:19" x14ac:dyDescent="0.35">
      <c r="A29" s="16"/>
      <c r="B29" s="16"/>
      <c r="C29" s="16"/>
      <c r="D29" s="16"/>
      <c r="E29" s="16"/>
      <c r="F29" s="16"/>
      <c r="G29" s="15"/>
      <c r="H29" s="15"/>
      <c r="I29" s="16"/>
      <c r="J29" s="16"/>
      <c r="K29" s="16"/>
      <c r="L29" s="16"/>
      <c r="M29" s="16"/>
      <c r="N29" s="14"/>
      <c r="O29" s="15"/>
      <c r="P29" s="15"/>
      <c r="Q29" s="15"/>
      <c r="R29" s="15"/>
      <c r="S29" s="16"/>
    </row>
    <row r="30" spans="1:19" x14ac:dyDescent="0.35">
      <c r="A30" s="16"/>
      <c r="B30" s="16"/>
      <c r="C30" s="16"/>
      <c r="D30" s="16"/>
      <c r="E30" s="16"/>
      <c r="F30" s="16"/>
      <c r="G30" s="15"/>
      <c r="H30" s="15"/>
      <c r="I30" s="16"/>
      <c r="J30" s="16"/>
      <c r="K30" s="16"/>
      <c r="L30" s="16"/>
      <c r="M30" s="16"/>
      <c r="N30" s="14"/>
      <c r="O30" s="15"/>
      <c r="P30" s="15"/>
      <c r="Q30" s="15"/>
      <c r="R30" s="15"/>
      <c r="S30" s="16"/>
    </row>
    <row r="31" spans="1:19" x14ac:dyDescent="0.35">
      <c r="J31" s="55"/>
      <c r="N31" s="14"/>
      <c r="S31" s="55"/>
    </row>
    <row r="32" spans="1:19" x14ac:dyDescent="0.35">
      <c r="J32" s="55"/>
      <c r="N32" s="14"/>
      <c r="S32" s="55"/>
    </row>
    <row r="33" spans="1:19" x14ac:dyDescent="0.35">
      <c r="J33" s="55"/>
      <c r="N33" s="14"/>
      <c r="S33" s="63"/>
    </row>
    <row r="34" spans="1:19" x14ac:dyDescent="0.35">
      <c r="J34" s="55"/>
      <c r="N34" s="14"/>
      <c r="S34" s="63"/>
    </row>
    <row r="35" spans="1:19" x14ac:dyDescent="0.35">
      <c r="J35" s="55"/>
      <c r="N35" s="14"/>
      <c r="S35" s="63"/>
    </row>
    <row r="36" spans="1:19" x14ac:dyDescent="0.35">
      <c r="J36" s="55"/>
      <c r="N36" s="14"/>
      <c r="S36" s="63"/>
    </row>
    <row r="37" spans="1:19" x14ac:dyDescent="0.35">
      <c r="J37" s="55"/>
      <c r="N37" s="14"/>
      <c r="S37" s="63"/>
    </row>
    <row r="38" spans="1:19" x14ac:dyDescent="0.35">
      <c r="J38" s="51"/>
      <c r="N38" s="14"/>
      <c r="S38" s="63"/>
    </row>
    <row r="39" spans="1:19" x14ac:dyDescent="0.35">
      <c r="A39" s="16"/>
      <c r="B39" s="16"/>
      <c r="C39" s="16"/>
      <c r="D39" s="16"/>
      <c r="E39" s="16"/>
      <c r="F39" s="16"/>
      <c r="G39" s="15"/>
      <c r="H39" s="15"/>
      <c r="I39" s="16"/>
      <c r="J39" s="16"/>
      <c r="K39" s="16"/>
      <c r="L39" s="16"/>
      <c r="M39" s="16"/>
      <c r="N39" s="14"/>
      <c r="O39" s="15"/>
      <c r="P39" s="15"/>
      <c r="Q39" s="15"/>
      <c r="R39" s="15"/>
      <c r="S39" s="16"/>
    </row>
    <row r="40" spans="1:19" x14ac:dyDescent="0.35">
      <c r="A40" s="16"/>
      <c r="B40" s="16"/>
      <c r="C40" s="16"/>
      <c r="D40" s="16"/>
      <c r="E40" s="16"/>
      <c r="F40" s="16"/>
      <c r="G40" s="15"/>
      <c r="H40" s="15"/>
      <c r="I40" s="16"/>
      <c r="J40" s="16"/>
      <c r="K40" s="16"/>
      <c r="L40" s="16"/>
      <c r="M40" s="16"/>
      <c r="N40" s="14"/>
      <c r="O40" s="15"/>
      <c r="P40" s="15"/>
      <c r="Q40" s="15"/>
      <c r="R40" s="15"/>
      <c r="S40" s="16"/>
    </row>
    <row r="41" spans="1:19" x14ac:dyDescent="0.35">
      <c r="A41" s="16"/>
      <c r="B41" s="16"/>
      <c r="C41" s="16"/>
      <c r="D41" s="16"/>
      <c r="E41" s="16"/>
      <c r="F41" s="16"/>
      <c r="G41" s="15"/>
      <c r="H41" s="15"/>
      <c r="I41" s="16"/>
      <c r="J41" s="16"/>
      <c r="K41" s="16"/>
      <c r="L41" s="16"/>
      <c r="M41" s="16"/>
      <c r="N41" s="14"/>
      <c r="O41" s="15"/>
      <c r="P41" s="15"/>
      <c r="Q41" s="15"/>
      <c r="R41" s="15"/>
      <c r="S41" s="16"/>
    </row>
    <row r="42" spans="1:19" x14ac:dyDescent="0.35">
      <c r="A42" s="16"/>
      <c r="B42" s="16"/>
      <c r="C42" s="16"/>
      <c r="D42" s="16"/>
      <c r="E42" s="16"/>
      <c r="F42" s="16"/>
      <c r="G42" s="15"/>
      <c r="H42" s="15"/>
      <c r="I42" s="16"/>
      <c r="J42" s="16"/>
      <c r="K42" s="16"/>
      <c r="L42" s="16"/>
      <c r="M42" s="16"/>
      <c r="N42" s="14"/>
      <c r="O42" s="15"/>
      <c r="P42" s="15"/>
      <c r="Q42" s="15"/>
      <c r="R42" s="15"/>
      <c r="S42" s="16"/>
    </row>
    <row r="43" spans="1:19" x14ac:dyDescent="0.35">
      <c r="A43" s="16"/>
      <c r="B43" s="16"/>
      <c r="C43" s="16"/>
      <c r="D43" s="16"/>
      <c r="E43" s="16"/>
      <c r="F43" s="16"/>
      <c r="G43" s="15"/>
      <c r="H43" s="15"/>
      <c r="I43" s="16"/>
      <c r="J43" s="16"/>
      <c r="K43" s="16"/>
      <c r="L43" s="16"/>
      <c r="M43" s="16"/>
      <c r="N43" s="14"/>
      <c r="O43" s="15"/>
      <c r="P43" s="15"/>
      <c r="Q43" s="15"/>
      <c r="R43" s="15"/>
      <c r="S43" s="16"/>
    </row>
    <row r="44" spans="1:19" x14ac:dyDescent="0.35">
      <c r="A44" s="16"/>
      <c r="B44" s="16"/>
      <c r="C44" s="16"/>
      <c r="D44" s="16"/>
      <c r="E44" s="16"/>
      <c r="F44" s="16"/>
      <c r="G44" s="15"/>
      <c r="H44" s="15"/>
      <c r="I44" s="16"/>
      <c r="J44" s="16"/>
      <c r="K44" s="16"/>
      <c r="L44" s="16"/>
      <c r="M44" s="16"/>
      <c r="N44" s="14"/>
      <c r="O44" s="15"/>
      <c r="P44" s="15"/>
      <c r="Q44" s="15"/>
      <c r="R44" s="15"/>
      <c r="S44" s="16"/>
    </row>
    <row r="45" spans="1:19" x14ac:dyDescent="0.35">
      <c r="A45" s="16"/>
      <c r="B45" s="16"/>
      <c r="C45" s="16"/>
      <c r="D45" s="16"/>
      <c r="E45" s="16"/>
      <c r="F45" s="16"/>
      <c r="G45" s="15"/>
      <c r="H45" s="15"/>
      <c r="I45" s="16"/>
      <c r="J45" s="16"/>
      <c r="K45" s="16"/>
      <c r="L45" s="16"/>
      <c r="M45" s="16"/>
      <c r="N45" s="14"/>
      <c r="O45" s="15"/>
      <c r="P45" s="15"/>
      <c r="Q45" s="15"/>
      <c r="R45" s="15"/>
      <c r="S45" s="16"/>
    </row>
    <row r="46" spans="1:19" x14ac:dyDescent="0.35">
      <c r="A46" s="16"/>
      <c r="B46" s="16"/>
      <c r="C46" s="16"/>
      <c r="D46" s="16"/>
      <c r="E46" s="16"/>
      <c r="F46" s="16"/>
      <c r="G46" s="15"/>
      <c r="H46" s="15"/>
      <c r="I46" s="16"/>
      <c r="J46" s="16"/>
      <c r="K46" s="16"/>
      <c r="L46" s="16"/>
      <c r="M46" s="16"/>
      <c r="N46" s="14"/>
      <c r="O46" s="15"/>
      <c r="P46" s="15"/>
      <c r="Q46" s="15"/>
      <c r="R46" s="15"/>
      <c r="S46" s="16"/>
    </row>
    <row r="47" spans="1:19" x14ac:dyDescent="0.35">
      <c r="A47" s="16"/>
      <c r="B47" s="16"/>
      <c r="C47" s="16"/>
      <c r="D47" s="16"/>
      <c r="E47" s="16"/>
      <c r="F47" s="16"/>
      <c r="G47" s="15"/>
      <c r="H47" s="15"/>
      <c r="I47" s="16"/>
      <c r="J47" s="16"/>
      <c r="K47" s="16"/>
      <c r="L47" s="16"/>
      <c r="M47" s="16"/>
      <c r="N47" s="14"/>
      <c r="O47" s="15"/>
      <c r="P47" s="15"/>
      <c r="Q47" s="15"/>
      <c r="R47" s="15"/>
      <c r="S47" s="16"/>
    </row>
    <row r="48" spans="1:19" x14ac:dyDescent="0.35">
      <c r="A48" s="16"/>
      <c r="B48" s="16"/>
      <c r="C48" s="16"/>
      <c r="D48" s="16"/>
      <c r="E48" s="16"/>
      <c r="F48" s="16"/>
      <c r="G48" s="15"/>
      <c r="H48" s="15"/>
      <c r="I48" s="16"/>
      <c r="J48" s="16"/>
      <c r="K48" s="16"/>
      <c r="L48" s="16"/>
      <c r="M48" s="16"/>
      <c r="N48" s="14"/>
      <c r="O48" s="15"/>
      <c r="P48" s="15"/>
      <c r="Q48" s="15"/>
      <c r="R48" s="15"/>
      <c r="S48" s="16"/>
    </row>
    <row r="49" spans="1:22" x14ac:dyDescent="0.35">
      <c r="A49" s="16"/>
      <c r="B49" s="16"/>
      <c r="C49" s="16"/>
      <c r="D49" s="16"/>
      <c r="E49" s="16"/>
      <c r="F49" s="16"/>
      <c r="G49" s="15"/>
      <c r="H49" s="15"/>
      <c r="I49" s="16"/>
      <c r="J49" s="16"/>
      <c r="K49" s="16"/>
      <c r="L49" s="16"/>
      <c r="M49" s="16"/>
      <c r="N49" s="14"/>
      <c r="O49" s="15"/>
      <c r="P49" s="15"/>
      <c r="Q49" s="15"/>
      <c r="R49" s="15"/>
      <c r="S49" s="16"/>
    </row>
    <row r="50" spans="1:22" x14ac:dyDescent="0.35">
      <c r="A50" s="16"/>
      <c r="B50" s="16"/>
      <c r="C50" s="16"/>
      <c r="D50" s="16"/>
      <c r="E50" s="16"/>
      <c r="F50" s="16"/>
      <c r="G50" s="15"/>
      <c r="H50" s="15"/>
      <c r="I50" s="16"/>
      <c r="J50" s="16"/>
      <c r="K50" s="16"/>
      <c r="L50" s="16"/>
      <c r="M50" s="16"/>
      <c r="N50" s="14"/>
      <c r="O50" s="15"/>
      <c r="P50" s="15"/>
      <c r="Q50" s="15"/>
      <c r="R50" s="15"/>
      <c r="S50" s="16"/>
    </row>
    <row r="51" spans="1:22" x14ac:dyDescent="0.35">
      <c r="A51" s="16"/>
      <c r="B51" s="16"/>
      <c r="C51" s="16"/>
      <c r="D51" s="16"/>
      <c r="E51" s="16"/>
      <c r="F51" s="16"/>
      <c r="G51" s="15"/>
      <c r="H51" s="15"/>
      <c r="I51" s="16"/>
      <c r="J51" s="16"/>
      <c r="K51" s="16"/>
      <c r="L51" s="16"/>
      <c r="M51" s="16"/>
      <c r="N51" s="14"/>
      <c r="O51" s="15"/>
      <c r="P51" s="15"/>
      <c r="Q51" s="15"/>
      <c r="R51" s="15"/>
      <c r="S51" s="16"/>
    </row>
    <row r="52" spans="1:22" x14ac:dyDescent="0.35">
      <c r="A52" s="16"/>
      <c r="B52" s="16"/>
      <c r="C52" s="16"/>
      <c r="D52" s="16"/>
      <c r="E52" s="16"/>
      <c r="F52" s="16"/>
      <c r="G52" s="15"/>
      <c r="H52" s="15"/>
      <c r="I52" s="16"/>
      <c r="J52" s="16"/>
      <c r="K52" s="16"/>
      <c r="L52" s="16"/>
      <c r="M52" s="16"/>
      <c r="N52" s="14"/>
      <c r="O52" s="15"/>
      <c r="P52" s="15"/>
      <c r="Q52" s="15"/>
      <c r="R52" s="15"/>
      <c r="S52" s="16"/>
    </row>
    <row r="53" spans="1:22" x14ac:dyDescent="0.35">
      <c r="A53" s="16"/>
      <c r="B53" s="16"/>
      <c r="C53" s="16"/>
      <c r="D53" s="16"/>
      <c r="E53" s="16"/>
      <c r="F53" s="16"/>
      <c r="G53" s="15"/>
      <c r="H53" s="15"/>
      <c r="I53" s="16"/>
      <c r="J53" s="16"/>
      <c r="K53" s="16"/>
      <c r="L53" s="16"/>
      <c r="M53" s="16"/>
      <c r="N53" s="14"/>
      <c r="O53" s="15"/>
      <c r="P53" s="15"/>
      <c r="Q53" s="15"/>
      <c r="R53" s="15"/>
      <c r="S53" s="16"/>
      <c r="V53" s="16"/>
    </row>
    <row r="54" spans="1:22" x14ac:dyDescent="0.35">
      <c r="A54" s="16"/>
      <c r="B54" s="16"/>
      <c r="C54" s="16"/>
      <c r="D54" s="16"/>
      <c r="E54" s="16"/>
      <c r="F54" s="16"/>
      <c r="G54" s="15"/>
      <c r="H54" s="15"/>
      <c r="I54" s="16"/>
      <c r="J54" s="16"/>
      <c r="K54" s="16"/>
      <c r="L54" s="16"/>
      <c r="M54" s="16"/>
      <c r="N54" s="14"/>
      <c r="O54" s="15"/>
      <c r="P54" s="15"/>
      <c r="Q54" s="15"/>
      <c r="R54" s="15"/>
      <c r="S54" s="16"/>
      <c r="V54" s="16"/>
    </row>
    <row r="55" spans="1:22" x14ac:dyDescent="0.35">
      <c r="A55" s="16"/>
      <c r="B55" s="16"/>
      <c r="C55" s="16"/>
      <c r="D55" s="16"/>
      <c r="E55" s="16"/>
      <c r="F55" s="16"/>
      <c r="G55" s="15"/>
      <c r="H55" s="15"/>
      <c r="I55" s="16"/>
      <c r="J55" s="16"/>
      <c r="K55" s="16"/>
      <c r="L55" s="16"/>
      <c r="M55" s="16"/>
      <c r="N55" s="14"/>
      <c r="O55" s="15"/>
      <c r="P55" s="15"/>
      <c r="Q55" s="15"/>
      <c r="R55" s="15"/>
      <c r="S55" s="16"/>
      <c r="V55" s="16"/>
    </row>
    <row r="56" spans="1:22" x14ac:dyDescent="0.35">
      <c r="A56" s="16"/>
      <c r="B56" s="16"/>
      <c r="C56" s="16"/>
      <c r="D56" s="16"/>
      <c r="E56" s="16"/>
      <c r="F56" s="16"/>
      <c r="G56" s="15"/>
      <c r="H56" s="15"/>
      <c r="I56" s="16"/>
      <c r="J56" s="16"/>
      <c r="K56" s="16"/>
      <c r="L56" s="16"/>
      <c r="M56" s="16"/>
      <c r="N56" s="14"/>
      <c r="O56" s="15"/>
      <c r="P56" s="15"/>
      <c r="Q56" s="15"/>
      <c r="R56" s="15"/>
      <c r="S56" s="16"/>
      <c r="V56" s="16"/>
    </row>
    <row r="57" spans="1:22" x14ac:dyDescent="0.35">
      <c r="A57" s="16"/>
      <c r="B57" s="16"/>
      <c r="C57" s="16"/>
      <c r="D57" s="16"/>
      <c r="E57" s="16"/>
      <c r="F57" s="16"/>
      <c r="G57" s="15"/>
      <c r="H57" s="15"/>
      <c r="I57" s="16"/>
      <c r="J57" s="16"/>
      <c r="K57" s="16"/>
      <c r="L57" s="16"/>
      <c r="M57" s="16"/>
      <c r="N57" s="14"/>
      <c r="O57" s="15"/>
      <c r="P57" s="15"/>
      <c r="Q57" s="15"/>
      <c r="R57" s="15"/>
      <c r="S57" s="16"/>
    </row>
    <row r="58" spans="1:22" x14ac:dyDescent="0.35">
      <c r="A58" s="16"/>
      <c r="B58" s="16"/>
      <c r="C58" s="16"/>
      <c r="D58" s="16"/>
      <c r="E58" s="16"/>
      <c r="F58" s="16"/>
      <c r="G58" s="15"/>
      <c r="H58" s="15"/>
      <c r="I58" s="16"/>
      <c r="J58" s="16"/>
      <c r="K58" s="16"/>
      <c r="L58" s="16"/>
      <c r="M58" s="16"/>
      <c r="N58" s="14"/>
      <c r="O58" s="15"/>
      <c r="P58" s="15"/>
      <c r="Q58" s="15"/>
      <c r="R58" s="15"/>
      <c r="S58" s="16"/>
    </row>
    <row r="59" spans="1:22" x14ac:dyDescent="0.35">
      <c r="A59" s="16"/>
      <c r="B59" s="16"/>
      <c r="C59" s="16"/>
      <c r="D59" s="16"/>
      <c r="E59" s="16"/>
      <c r="F59" s="16"/>
      <c r="G59" s="15"/>
      <c r="H59" s="15"/>
      <c r="I59" s="16"/>
      <c r="J59" s="16"/>
      <c r="K59" s="16"/>
      <c r="L59" s="16"/>
      <c r="M59" s="16"/>
      <c r="N59" s="14"/>
      <c r="O59" s="15"/>
      <c r="P59" s="15"/>
      <c r="Q59" s="15"/>
      <c r="R59" s="15"/>
      <c r="S59" s="16"/>
    </row>
    <row r="60" spans="1:22" x14ac:dyDescent="0.35">
      <c r="A60" s="16"/>
      <c r="B60" s="16"/>
      <c r="C60" s="16"/>
      <c r="D60" s="16"/>
      <c r="E60" s="16"/>
      <c r="F60" s="16"/>
      <c r="G60" s="15"/>
      <c r="H60" s="15"/>
      <c r="I60" s="16"/>
      <c r="J60" s="16"/>
      <c r="K60" s="16"/>
      <c r="L60" s="16"/>
      <c r="M60" s="16"/>
      <c r="N60" s="14"/>
      <c r="O60" s="15"/>
      <c r="P60" s="15"/>
      <c r="Q60" s="15"/>
      <c r="R60" s="15"/>
      <c r="S60" s="16"/>
    </row>
    <row r="61" spans="1:22" x14ac:dyDescent="0.35">
      <c r="A61" s="16"/>
      <c r="B61" s="16"/>
      <c r="C61" s="16"/>
      <c r="D61" s="16"/>
      <c r="E61" s="16"/>
      <c r="F61" s="16"/>
      <c r="G61" s="15"/>
      <c r="H61" s="15"/>
      <c r="I61" s="16"/>
      <c r="J61" s="16"/>
      <c r="K61" s="16"/>
      <c r="L61" s="16"/>
      <c r="M61" s="16"/>
      <c r="N61" s="14"/>
      <c r="O61" s="15"/>
      <c r="P61" s="15"/>
      <c r="Q61" s="15"/>
      <c r="R61" s="15"/>
      <c r="S61" s="16"/>
    </row>
    <row r="62" spans="1:22" x14ac:dyDescent="0.35">
      <c r="A62" s="16"/>
      <c r="B62" s="16"/>
      <c r="C62" s="16"/>
      <c r="D62" s="16"/>
      <c r="E62" s="16"/>
      <c r="F62" s="16"/>
      <c r="G62" s="15"/>
      <c r="H62" s="15"/>
      <c r="I62" s="16"/>
      <c r="J62" s="16"/>
      <c r="K62" s="16"/>
      <c r="L62" s="16"/>
      <c r="M62" s="16"/>
      <c r="N62" s="14"/>
      <c r="O62" s="15"/>
      <c r="P62" s="15"/>
      <c r="Q62" s="15"/>
      <c r="R62" s="15"/>
      <c r="S62" s="16"/>
    </row>
    <row r="63" spans="1:22" x14ac:dyDescent="0.35">
      <c r="A63" s="16"/>
      <c r="B63" s="16"/>
      <c r="C63" s="16"/>
      <c r="D63" s="16"/>
      <c r="E63" s="16"/>
      <c r="F63" s="16"/>
      <c r="G63" s="15"/>
      <c r="H63" s="15"/>
      <c r="I63" s="16"/>
      <c r="J63" s="16"/>
      <c r="K63" s="16"/>
      <c r="L63" s="16"/>
      <c r="M63" s="16"/>
      <c r="N63" s="14"/>
      <c r="O63" s="15"/>
      <c r="P63" s="15"/>
      <c r="Q63" s="15"/>
      <c r="R63" s="15"/>
      <c r="S63" s="16"/>
    </row>
    <row r="64" spans="1:22" x14ac:dyDescent="0.35">
      <c r="A64" s="16"/>
      <c r="B64" s="16"/>
      <c r="C64" s="16"/>
      <c r="D64" s="16"/>
      <c r="E64" s="16"/>
      <c r="F64" s="16"/>
      <c r="G64" s="15"/>
      <c r="H64" s="15"/>
      <c r="I64" s="16"/>
      <c r="J64" s="16"/>
      <c r="K64" s="16"/>
      <c r="L64" s="16"/>
      <c r="M64" s="16"/>
      <c r="N64" s="14"/>
      <c r="O64" s="15"/>
      <c r="P64" s="15"/>
      <c r="Q64" s="15"/>
      <c r="R64" s="15"/>
      <c r="S64" s="16"/>
    </row>
  </sheetData>
  <autoFilter ref="A1:V56" xr:uid="{E7EADFA0-13CC-4301-8FD8-B5C2BA0411F3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7A6C71-1089-470F-A990-F8DA653AFEB4}">
          <x14:formula1>
            <xm:f>'OED Lists '!$B$4:$B$39</xm:f>
          </x14:formula1>
          <xm:sqref>U2:U8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BD1E-7FC0-4FE3-B337-F341E7AFAD59}">
  <sheetPr>
    <tabColor rgb="FF92D050"/>
  </sheetPr>
  <dimension ref="A1:U6"/>
  <sheetViews>
    <sheetView workbookViewId="0">
      <selection activeCell="T9" sqref="T9"/>
    </sheetView>
  </sheetViews>
  <sheetFormatPr defaultRowHeight="14.5" x14ac:dyDescent="0.35"/>
  <cols>
    <col min="7" max="7" width="14.453125" customWidth="1"/>
    <col min="17" max="17" width="11.81640625" customWidth="1"/>
    <col min="20" max="20" width="11.26953125" customWidth="1"/>
    <col min="21" max="21" width="31.453125" customWidth="1"/>
  </cols>
  <sheetData>
    <row r="1" spans="1:21" x14ac:dyDescent="0.35">
      <c r="A1" s="50" t="s">
        <v>94</v>
      </c>
      <c r="B1" s="50" t="s">
        <v>95</v>
      </c>
      <c r="C1" s="50" t="s">
        <v>96</v>
      </c>
      <c r="D1" s="50" t="s">
        <v>97</v>
      </c>
      <c r="E1" s="50" t="s">
        <v>98</v>
      </c>
      <c r="F1" s="50" t="s">
        <v>99</v>
      </c>
      <c r="G1" s="50" t="s">
        <v>100</v>
      </c>
      <c r="H1" s="50" t="s">
        <v>101</v>
      </c>
      <c r="I1" s="50" t="s">
        <v>111</v>
      </c>
      <c r="J1" s="50" t="s">
        <v>52</v>
      </c>
      <c r="K1" s="50" t="s">
        <v>102</v>
      </c>
      <c r="L1" s="50" t="s">
        <v>103</v>
      </c>
      <c r="M1" s="50" t="s">
        <v>104</v>
      </c>
      <c r="N1" s="50" t="s">
        <v>105</v>
      </c>
      <c r="O1" s="50" t="s">
        <v>112</v>
      </c>
      <c r="P1" s="50" t="s">
        <v>113</v>
      </c>
      <c r="Q1" s="50" t="s">
        <v>106</v>
      </c>
      <c r="R1" s="50" t="s">
        <v>107</v>
      </c>
      <c r="S1" s="50" t="s">
        <v>108</v>
      </c>
      <c r="T1" s="50" t="s">
        <v>109</v>
      </c>
      <c r="U1" s="29" t="s">
        <v>110</v>
      </c>
    </row>
    <row r="2" spans="1:21" x14ac:dyDescent="0.35">
      <c r="A2" s="16" t="s">
        <v>156</v>
      </c>
      <c r="B2" s="16" t="s">
        <v>157</v>
      </c>
      <c r="C2" s="16" t="s">
        <v>148</v>
      </c>
      <c r="D2" s="16" t="s">
        <v>149</v>
      </c>
      <c r="E2" s="16" t="s">
        <v>180</v>
      </c>
      <c r="F2" s="16" t="s">
        <v>181</v>
      </c>
      <c r="G2" s="15">
        <v>2100689908</v>
      </c>
      <c r="H2" s="15">
        <v>30198674</v>
      </c>
      <c r="I2" s="16" t="s">
        <v>150</v>
      </c>
      <c r="J2" s="16" t="s">
        <v>169</v>
      </c>
      <c r="K2" s="16" t="s">
        <v>170</v>
      </c>
      <c r="L2" s="16"/>
      <c r="M2" s="16"/>
      <c r="N2" s="16" t="s">
        <v>152</v>
      </c>
      <c r="O2" s="16" t="s">
        <v>152</v>
      </c>
      <c r="P2" s="16"/>
      <c r="Q2" s="14">
        <v>46225</v>
      </c>
      <c r="R2" s="15">
        <v>202704</v>
      </c>
      <c r="S2" s="16" t="s">
        <v>171</v>
      </c>
      <c r="T2" s="17">
        <v>6443.06</v>
      </c>
      <c r="U2" s="30" t="s">
        <v>34</v>
      </c>
    </row>
    <row r="3" spans="1:21" x14ac:dyDescent="0.35">
      <c r="A3" s="16"/>
      <c r="B3" s="16"/>
      <c r="C3" s="16"/>
      <c r="D3" s="16"/>
      <c r="E3" s="16"/>
      <c r="F3" s="16"/>
      <c r="G3" s="15"/>
      <c r="H3" s="15"/>
      <c r="I3" s="16"/>
      <c r="J3" s="16"/>
      <c r="K3" s="16"/>
      <c r="L3" s="16"/>
      <c r="M3" s="16"/>
      <c r="N3" s="16"/>
      <c r="O3" s="16"/>
      <c r="P3" s="16"/>
      <c r="Q3" s="14"/>
      <c r="R3" s="15"/>
      <c r="S3" s="16"/>
      <c r="T3" s="17"/>
      <c r="U3" s="30"/>
    </row>
    <row r="4" spans="1:21" x14ac:dyDescent="0.35">
      <c r="A4" s="16"/>
      <c r="B4" s="16"/>
      <c r="C4" s="16"/>
      <c r="D4" s="16"/>
      <c r="E4" s="16"/>
      <c r="F4" s="16"/>
      <c r="G4" s="15"/>
      <c r="H4" s="15"/>
      <c r="I4" s="16"/>
      <c r="J4" s="16"/>
      <c r="K4" s="16"/>
      <c r="L4" s="16"/>
      <c r="M4" s="16"/>
      <c r="N4" s="16"/>
      <c r="O4" s="16"/>
      <c r="P4" s="16"/>
      <c r="Q4" s="14"/>
      <c r="R4" s="15"/>
      <c r="S4" s="16"/>
      <c r="T4" s="17"/>
      <c r="U4" s="30"/>
    </row>
    <row r="5" spans="1:21" x14ac:dyDescent="0.35">
      <c r="A5" s="16"/>
      <c r="B5" s="16"/>
      <c r="C5" s="16"/>
      <c r="D5" s="16"/>
      <c r="E5" s="16"/>
      <c r="F5" s="16"/>
      <c r="G5" s="15"/>
      <c r="H5" s="15"/>
      <c r="I5" s="16"/>
      <c r="J5" s="16"/>
      <c r="K5" s="16"/>
      <c r="L5" s="16"/>
      <c r="M5" s="16"/>
      <c r="N5" s="16"/>
      <c r="O5" s="16"/>
      <c r="P5" s="16"/>
      <c r="Q5" s="14"/>
      <c r="R5" s="15"/>
      <c r="S5" s="16"/>
      <c r="T5" s="17"/>
      <c r="U5" s="30"/>
    </row>
    <row r="6" spans="1:21" x14ac:dyDescent="0.35">
      <c r="A6" s="16"/>
      <c r="B6" s="16"/>
      <c r="C6" s="16"/>
      <c r="D6" s="16"/>
      <c r="E6" s="16"/>
      <c r="F6" s="16"/>
      <c r="G6" s="15"/>
      <c r="H6" s="15"/>
      <c r="I6" s="16"/>
      <c r="J6" s="16"/>
      <c r="K6" s="16"/>
      <c r="L6" s="16"/>
      <c r="M6" s="16"/>
      <c r="N6" s="16"/>
      <c r="O6" s="16"/>
      <c r="P6" s="16"/>
      <c r="Q6" s="14"/>
      <c r="R6" s="15"/>
      <c r="S6" s="16"/>
      <c r="T6" s="17"/>
      <c r="U6" s="30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7365D9-967E-42F7-9D31-8FBEE55BAE64}">
          <x14:formula1>
            <xm:f>'OED Lists '!$B$4:$B$23</xm:f>
          </x14:formula1>
          <xm:sqref>U3:U6</xm:sqref>
        </x14:dataValidation>
        <x14:dataValidation type="list" allowBlank="1" showInputMessage="1" showErrorMessage="1" xr:uid="{1DE304AE-6CEB-4F04-824C-6BB855B54512}">
          <x14:formula1>
            <xm:f>'OED Lists '!$B$4:$B$39</xm:f>
          </x14:formula1>
          <xm:sqref>U2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4E20-6C36-4CA5-AA8B-3D79F43A9F18}">
  <sheetPr>
    <tabColor rgb="FF92D050"/>
  </sheetPr>
  <dimension ref="A4:B39"/>
  <sheetViews>
    <sheetView topLeftCell="A13" workbookViewId="0">
      <selection activeCell="D34" sqref="D34"/>
    </sheetView>
  </sheetViews>
  <sheetFormatPr defaultRowHeight="14.5" x14ac:dyDescent="0.35"/>
  <cols>
    <col min="1" max="1" width="54.54296875" customWidth="1"/>
    <col min="2" max="2" width="58.81640625" customWidth="1"/>
    <col min="5" max="5" width="56.453125" customWidth="1"/>
    <col min="6" max="6" width="39.54296875" customWidth="1"/>
  </cols>
  <sheetData>
    <row r="4" spans="1:2" x14ac:dyDescent="0.35">
      <c r="A4" s="89" t="s">
        <v>13</v>
      </c>
      <c r="B4" s="90" t="s">
        <v>27</v>
      </c>
    </row>
    <row r="5" spans="1:2" x14ac:dyDescent="0.35">
      <c r="A5" s="91" t="s">
        <v>14</v>
      </c>
      <c r="B5" s="74" t="s">
        <v>28</v>
      </c>
    </row>
    <row r="6" spans="1:2" x14ac:dyDescent="0.35">
      <c r="A6" s="91" t="s">
        <v>14</v>
      </c>
      <c r="B6" s="74" t="s">
        <v>29</v>
      </c>
    </row>
    <row r="7" spans="1:2" x14ac:dyDescent="0.35">
      <c r="A7" s="91" t="s">
        <v>14</v>
      </c>
      <c r="B7" s="72" t="s">
        <v>30</v>
      </c>
    </row>
    <row r="8" spans="1:2" x14ac:dyDescent="0.35">
      <c r="A8" s="89" t="s">
        <v>15</v>
      </c>
      <c r="B8" s="74" t="s">
        <v>31</v>
      </c>
    </row>
    <row r="9" spans="1:2" x14ac:dyDescent="0.35">
      <c r="A9" s="89" t="s">
        <v>15</v>
      </c>
      <c r="B9" s="72" t="s">
        <v>32</v>
      </c>
    </row>
    <row r="10" spans="1:2" x14ac:dyDescent="0.35">
      <c r="A10" s="89" t="s">
        <v>15</v>
      </c>
      <c r="B10" s="72" t="s">
        <v>57</v>
      </c>
    </row>
    <row r="11" spans="1:2" x14ac:dyDescent="0.35">
      <c r="A11" s="89" t="s">
        <v>16</v>
      </c>
      <c r="B11" s="90" t="s">
        <v>33</v>
      </c>
    </row>
    <row r="12" spans="1:2" x14ac:dyDescent="0.35">
      <c r="A12" s="89" t="s">
        <v>17</v>
      </c>
      <c r="B12" s="74" t="s">
        <v>34</v>
      </c>
    </row>
    <row r="13" spans="1:2" x14ac:dyDescent="0.35">
      <c r="A13" s="91" t="s">
        <v>18</v>
      </c>
      <c r="B13" s="74" t="s">
        <v>59</v>
      </c>
    </row>
    <row r="14" spans="1:2" x14ac:dyDescent="0.35">
      <c r="A14" s="89" t="s">
        <v>19</v>
      </c>
      <c r="B14" s="90" t="s">
        <v>35</v>
      </c>
    </row>
    <row r="15" spans="1:2" x14ac:dyDescent="0.35">
      <c r="A15" s="89" t="s">
        <v>115</v>
      </c>
      <c r="B15" s="74" t="s">
        <v>36</v>
      </c>
    </row>
    <row r="16" spans="1:2" x14ac:dyDescent="0.35">
      <c r="A16" s="89" t="s">
        <v>116</v>
      </c>
      <c r="B16" s="74" t="s">
        <v>37</v>
      </c>
    </row>
    <row r="17" spans="1:2" x14ac:dyDescent="0.35">
      <c r="A17" s="89" t="s">
        <v>20</v>
      </c>
      <c r="B17" s="90" t="s">
        <v>38</v>
      </c>
    </row>
    <row r="18" spans="1:2" x14ac:dyDescent="0.35">
      <c r="A18" s="89" t="s">
        <v>21</v>
      </c>
      <c r="B18" s="74" t="s">
        <v>39</v>
      </c>
    </row>
    <row r="19" spans="1:2" x14ac:dyDescent="0.35">
      <c r="A19" s="89" t="s">
        <v>21</v>
      </c>
      <c r="B19" s="72" t="s">
        <v>62</v>
      </c>
    </row>
    <row r="20" spans="1:2" x14ac:dyDescent="0.35">
      <c r="A20" s="89" t="s">
        <v>21</v>
      </c>
      <c r="B20" s="72" t="s">
        <v>61</v>
      </c>
    </row>
    <row r="21" spans="1:2" x14ac:dyDescent="0.35">
      <c r="A21" s="91" t="s">
        <v>22</v>
      </c>
      <c r="B21" s="74" t="s">
        <v>40</v>
      </c>
    </row>
    <row r="22" spans="1:2" x14ac:dyDescent="0.35">
      <c r="A22" s="92" t="s">
        <v>23</v>
      </c>
      <c r="B22" s="74" t="s">
        <v>38</v>
      </c>
    </row>
    <row r="23" spans="1:2" x14ac:dyDescent="0.35">
      <c r="A23" s="92" t="s">
        <v>23</v>
      </c>
      <c r="B23" s="90" t="s">
        <v>117</v>
      </c>
    </row>
    <row r="24" spans="1:2" x14ac:dyDescent="0.35">
      <c r="A24" s="92" t="s">
        <v>23</v>
      </c>
      <c r="B24" s="93" t="s">
        <v>68</v>
      </c>
    </row>
    <row r="25" spans="1:2" x14ac:dyDescent="0.35">
      <c r="A25" s="92" t="s">
        <v>23</v>
      </c>
      <c r="B25" s="94" t="s">
        <v>63</v>
      </c>
    </row>
    <row r="26" spans="1:2" x14ac:dyDescent="0.35">
      <c r="A26" s="92" t="s">
        <v>23</v>
      </c>
      <c r="B26" s="94" t="s">
        <v>64</v>
      </c>
    </row>
    <row r="27" spans="1:2" x14ac:dyDescent="0.35">
      <c r="A27" s="92" t="s">
        <v>23</v>
      </c>
      <c r="B27" s="94" t="s">
        <v>65</v>
      </c>
    </row>
    <row r="28" spans="1:2" x14ac:dyDescent="0.35">
      <c r="A28" s="92" t="s">
        <v>23</v>
      </c>
      <c r="B28" s="94" t="s">
        <v>67</v>
      </c>
    </row>
    <row r="29" spans="1:2" x14ac:dyDescent="0.35">
      <c r="A29" s="92" t="s">
        <v>23</v>
      </c>
      <c r="B29" s="94" t="s">
        <v>66</v>
      </c>
    </row>
    <row r="30" spans="1:2" x14ac:dyDescent="0.35">
      <c r="A30" s="92" t="s">
        <v>23</v>
      </c>
      <c r="B30" s="113" t="s">
        <v>168</v>
      </c>
    </row>
    <row r="31" spans="1:2" x14ac:dyDescent="0.35">
      <c r="A31" s="95" t="s">
        <v>24</v>
      </c>
      <c r="B31" s="74" t="s">
        <v>69</v>
      </c>
    </row>
    <row r="32" spans="1:2" x14ac:dyDescent="0.35">
      <c r="A32" s="95" t="s">
        <v>24</v>
      </c>
      <c r="B32" s="96" t="s">
        <v>70</v>
      </c>
    </row>
    <row r="33" spans="1:2" x14ac:dyDescent="0.35">
      <c r="A33" s="95" t="s">
        <v>24</v>
      </c>
      <c r="B33" s="74" t="s">
        <v>71</v>
      </c>
    </row>
    <row r="34" spans="1:2" x14ac:dyDescent="0.35">
      <c r="A34" s="95" t="s">
        <v>24</v>
      </c>
      <c r="B34" s="74" t="s">
        <v>114</v>
      </c>
    </row>
    <row r="35" spans="1:2" x14ac:dyDescent="0.35">
      <c r="A35" s="97" t="s">
        <v>118</v>
      </c>
      <c r="B35" s="74" t="s">
        <v>118</v>
      </c>
    </row>
    <row r="36" spans="1:2" x14ac:dyDescent="0.35">
      <c r="A36" s="98" t="s">
        <v>73</v>
      </c>
      <c r="B36" s="74" t="s">
        <v>74</v>
      </c>
    </row>
    <row r="37" spans="1:2" x14ac:dyDescent="0.35">
      <c r="A37" s="98" t="s">
        <v>73</v>
      </c>
      <c r="B37" s="74" t="s">
        <v>135</v>
      </c>
    </row>
    <row r="38" spans="1:2" x14ac:dyDescent="0.35">
      <c r="A38" s="98" t="s">
        <v>73</v>
      </c>
      <c r="B38" s="74" t="s">
        <v>75</v>
      </c>
    </row>
    <row r="39" spans="1:2" x14ac:dyDescent="0.35">
      <c r="A39" s="98" t="s">
        <v>73</v>
      </c>
      <c r="B39" s="74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5800-284D-4035-8405-EBE9CF4476DE}">
  <dimension ref="A2:G13"/>
  <sheetViews>
    <sheetView workbookViewId="0">
      <selection activeCell="I16" sqref="I16"/>
    </sheetView>
  </sheetViews>
  <sheetFormatPr defaultRowHeight="14.5" x14ac:dyDescent="0.35"/>
  <cols>
    <col min="1" max="1" width="21" customWidth="1"/>
    <col min="2" max="3" width="11" customWidth="1"/>
    <col min="4" max="4" width="10.1796875" customWidth="1"/>
    <col min="5" max="5" width="7.81640625" customWidth="1"/>
    <col min="6" max="6" width="9.7265625" customWidth="1"/>
    <col min="7" max="7" width="22.7265625" customWidth="1"/>
  </cols>
  <sheetData>
    <row r="2" spans="1:7" x14ac:dyDescent="0.35">
      <c r="A2" t="s">
        <v>119</v>
      </c>
      <c r="C2" s="66">
        <v>2.5000000000000001E-2</v>
      </c>
      <c r="D2" t="s">
        <v>120</v>
      </c>
      <c r="E2" t="s">
        <v>121</v>
      </c>
      <c r="F2" t="s">
        <v>122</v>
      </c>
      <c r="G2" t="s">
        <v>123</v>
      </c>
    </row>
    <row r="3" spans="1:7" ht="15.5" x14ac:dyDescent="0.35">
      <c r="A3" t="s">
        <v>124</v>
      </c>
      <c r="B3" s="59">
        <v>149022.8756</v>
      </c>
      <c r="C3" s="59">
        <f>+B3*1.025</f>
        <v>152748.44748999999</v>
      </c>
      <c r="D3" s="56"/>
      <c r="E3" s="56"/>
      <c r="F3" s="60">
        <f>+(E3*C3)/12*D3</f>
        <v>0</v>
      </c>
      <c r="G3" s="61" t="e">
        <f>+F3/D3</f>
        <v>#DIV/0!</v>
      </c>
    </row>
    <row r="4" spans="1:7" ht="15.5" x14ac:dyDescent="0.35">
      <c r="A4" t="s">
        <v>125</v>
      </c>
      <c r="B4" s="59">
        <v>124670.97200000001</v>
      </c>
      <c r="C4" s="59">
        <f t="shared" ref="C4:C13" si="0">+B4*1.025</f>
        <v>127787.7463</v>
      </c>
      <c r="D4" s="56"/>
      <c r="E4" s="56"/>
      <c r="F4" s="60">
        <f t="shared" ref="F4:F13" si="1">+(E4*C4)/12*D4</f>
        <v>0</v>
      </c>
      <c r="G4" s="61" t="e">
        <f t="shared" ref="G4:G8" si="2">+F4/D4</f>
        <v>#DIV/0!</v>
      </c>
    </row>
    <row r="5" spans="1:7" ht="15.5" x14ac:dyDescent="0.35">
      <c r="A5" t="s">
        <v>126</v>
      </c>
      <c r="B5" s="59">
        <v>104890.06379999999</v>
      </c>
      <c r="C5" s="59">
        <f t="shared" si="0"/>
        <v>107512.31539499998</v>
      </c>
      <c r="D5" s="56"/>
      <c r="E5" s="56"/>
      <c r="F5" s="60">
        <f t="shared" si="1"/>
        <v>0</v>
      </c>
      <c r="G5" s="61" t="e">
        <f t="shared" si="2"/>
        <v>#DIV/0!</v>
      </c>
    </row>
    <row r="6" spans="1:7" ht="15.5" x14ac:dyDescent="0.35">
      <c r="A6" t="s">
        <v>127</v>
      </c>
      <c r="B6" s="59">
        <v>88046.081600000005</v>
      </c>
      <c r="C6" s="59">
        <f t="shared" si="0"/>
        <v>90247.233639999991</v>
      </c>
      <c r="D6" s="56"/>
      <c r="E6" s="56"/>
      <c r="F6" s="60">
        <f t="shared" si="1"/>
        <v>0</v>
      </c>
      <c r="G6" s="61" t="e">
        <f t="shared" si="2"/>
        <v>#DIV/0!</v>
      </c>
    </row>
    <row r="7" spans="1:7" ht="15.5" x14ac:dyDescent="0.35">
      <c r="A7" t="s">
        <v>128</v>
      </c>
      <c r="B7" s="59">
        <v>74642.313600000009</v>
      </c>
      <c r="C7" s="59">
        <f t="shared" si="0"/>
        <v>76508.371440000003</v>
      </c>
      <c r="D7" s="56"/>
      <c r="E7" s="56"/>
      <c r="F7" s="60">
        <f t="shared" si="1"/>
        <v>0</v>
      </c>
      <c r="G7" s="61" t="e">
        <f t="shared" si="2"/>
        <v>#DIV/0!</v>
      </c>
    </row>
    <row r="8" spans="1:7" ht="15.5" x14ac:dyDescent="0.35">
      <c r="A8" t="s">
        <v>129</v>
      </c>
      <c r="B8" s="59">
        <v>64293.207399999999</v>
      </c>
      <c r="C8" s="59">
        <f t="shared" si="0"/>
        <v>65900.537584999998</v>
      </c>
      <c r="D8" s="56"/>
      <c r="E8" s="62"/>
      <c r="F8" s="60">
        <f t="shared" si="1"/>
        <v>0</v>
      </c>
      <c r="G8" s="61" t="e">
        <f t="shared" si="2"/>
        <v>#DIV/0!</v>
      </c>
    </row>
    <row r="9" spans="1:7" ht="15.5" x14ac:dyDescent="0.35">
      <c r="A9" t="s">
        <v>130</v>
      </c>
      <c r="B9" s="59">
        <v>52066.797399999996</v>
      </c>
      <c r="C9" s="59">
        <f t="shared" si="0"/>
        <v>53368.467334999994</v>
      </c>
      <c r="D9" s="56"/>
      <c r="E9" s="62"/>
      <c r="F9" s="60">
        <f t="shared" ref="F9" si="3">+(E9*C9)/12*D9</f>
        <v>0</v>
      </c>
      <c r="G9" s="61" t="e">
        <f>+F9/D9</f>
        <v>#DIV/0!</v>
      </c>
    </row>
    <row r="10" spans="1:7" ht="15.5" x14ac:dyDescent="0.35">
      <c r="A10" t="s">
        <v>131</v>
      </c>
      <c r="B10" s="59">
        <v>42576.774399999995</v>
      </c>
      <c r="C10" s="59">
        <f t="shared" si="0"/>
        <v>43641.193759999987</v>
      </c>
      <c r="D10" s="56"/>
      <c r="E10" s="56"/>
      <c r="F10" s="60">
        <f t="shared" si="1"/>
        <v>0</v>
      </c>
      <c r="G10" s="61" t="e">
        <f t="shared" ref="G10:G13" si="4">+F10/D10</f>
        <v>#DIV/0!</v>
      </c>
    </row>
    <row r="11" spans="1:7" ht="15.5" x14ac:dyDescent="0.35">
      <c r="A11" t="s">
        <v>132</v>
      </c>
      <c r="B11" s="59">
        <v>38273.595600000001</v>
      </c>
      <c r="C11" s="59">
        <f t="shared" si="0"/>
        <v>39230.435489999996</v>
      </c>
      <c r="D11" s="56"/>
      <c r="E11" s="56"/>
      <c r="F11" s="60">
        <f t="shared" si="1"/>
        <v>0</v>
      </c>
      <c r="G11" s="61" t="e">
        <f t="shared" si="4"/>
        <v>#DIV/0!</v>
      </c>
    </row>
    <row r="12" spans="1:7" ht="15.5" x14ac:dyDescent="0.35">
      <c r="A12" t="s">
        <v>133</v>
      </c>
      <c r="B12" s="59">
        <v>33662.492399999996</v>
      </c>
      <c r="C12" s="59">
        <f t="shared" si="0"/>
        <v>34504.054709999989</v>
      </c>
      <c r="D12" s="56"/>
      <c r="E12" s="56"/>
      <c r="F12" s="60">
        <f t="shared" si="1"/>
        <v>0</v>
      </c>
      <c r="G12" s="61" t="e">
        <f t="shared" si="4"/>
        <v>#DIV/0!</v>
      </c>
    </row>
    <row r="13" spans="1:7" ht="15.5" x14ac:dyDescent="0.35">
      <c r="A13" t="s">
        <v>134</v>
      </c>
      <c r="B13" s="59">
        <v>30901.5232</v>
      </c>
      <c r="C13" s="59">
        <f t="shared" si="0"/>
        <v>31674.061279999998</v>
      </c>
      <c r="D13" s="56"/>
      <c r="E13" s="56"/>
      <c r="F13" s="60">
        <f t="shared" si="1"/>
        <v>0</v>
      </c>
      <c r="G13" s="61" t="e">
        <f t="shared" si="4"/>
        <v>#DIV/0!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a39bbb-608f-4c23-b118-b2cc34265858">
      <UserInfo>
        <DisplayName>VANSTONE, Isobel (ROYAL DEVON UNIVERSITY HEALTHCARE NHS FOUNDATION TRUST)</DisplayName>
        <AccountId>11</AccountId>
        <AccountType/>
      </UserInfo>
      <UserInfo>
        <DisplayName>RAPSEY, Simon (ROYAL DEVON UNIVERSITY HEALTHCARE NHS FOUNDATION TRUST)</DisplayName>
        <AccountId>17</AccountId>
        <AccountType/>
      </UserInfo>
      <UserInfo>
        <DisplayName>LANDER, James (ROYAL DEVON UNIVERSITY HEALTHCARE NHS FOUNDATION TRUST)</DisplayName>
        <AccountId>15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a3a39bbb-608f-4c23-b118-b2cc34265858" xsi:nil="true"/>
    <lcf76f155ced4ddcb4097134ff3c332f xmlns="d505abb2-917d-4a9c-9ac4-04b7a4542fc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0FAFF44C5574989292B1DCD246781" ma:contentTypeVersion="18" ma:contentTypeDescription="Create a new document." ma:contentTypeScope="" ma:versionID="1930c453539d5fb8234783bca1a09cba">
  <xsd:schema xmlns:xsd="http://www.w3.org/2001/XMLSchema" xmlns:xs="http://www.w3.org/2001/XMLSchema" xmlns:p="http://schemas.microsoft.com/office/2006/metadata/properties" xmlns:ns1="http://schemas.microsoft.com/sharepoint/v3" xmlns:ns2="d505abb2-917d-4a9c-9ac4-04b7a4542fc5" xmlns:ns3="a3a39bbb-608f-4c23-b118-b2cc34265858" targetNamespace="http://schemas.microsoft.com/office/2006/metadata/properties" ma:root="true" ma:fieldsID="d3def457bf7811eebb1b888a50a39893" ns1:_="" ns2:_="" ns3:_="">
    <xsd:import namespace="http://schemas.microsoft.com/sharepoint/v3"/>
    <xsd:import namespace="d505abb2-917d-4a9c-9ac4-04b7a4542fc5"/>
    <xsd:import namespace="a3a39bbb-608f-4c23-b118-b2cc34265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5abb2-917d-4a9c-9ac4-04b7a4542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39bbb-608f-4c23-b118-b2cc34265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89e5e0-6c35-4c77-b17a-902c8f734403}" ma:internalName="TaxCatchAll" ma:showField="CatchAllData" ma:web="a3a39bbb-608f-4c23-b118-b2cc34265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E4321-29CD-4170-BF91-CB4D1BF94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B8C094-1BAF-4500-9491-74BB1074206B}">
  <ds:schemaRefs>
    <ds:schemaRef ds:uri="http://schemas.microsoft.com/sharepoint/v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a3a39bbb-608f-4c23-b118-b2cc34265858"/>
    <ds:schemaRef ds:uri="http://schemas.microsoft.com/office/infopath/2007/PartnerControls"/>
    <ds:schemaRef ds:uri="d505abb2-917d-4a9c-9ac4-04b7a4542fc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3C0D98-CBCD-43E1-B3C4-3DC6B665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05abb2-917d-4a9c-9ac4-04b7a4542fc5"/>
    <ds:schemaRef ds:uri="a3a39bbb-608f-4c23-b118-b2cc34265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OED Board Report Tables 26-27</vt:lpstr>
      <vt:lpstr>OED budget 2026-27</vt:lpstr>
      <vt:lpstr>OED Ledger Posted </vt:lpstr>
      <vt:lpstr>OED Ledger Registered </vt:lpstr>
      <vt:lpstr>OED Lists </vt:lpstr>
      <vt:lpstr>Pay costs</vt:lpstr>
    </vt:vector>
  </TitlesOfParts>
  <Manager/>
  <Company>Northern Devon Healthcare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Beacham, Andrea</dc:creator>
  <cp:keywords/>
  <dc:description/>
  <cp:lastModifiedBy>VANSTONE, Isobel (ROYAL DEVON UNIVERSITY HEALTHCARE NH</cp:lastModifiedBy>
  <cp:revision/>
  <dcterms:created xsi:type="dcterms:W3CDTF">2024-06-18T15:27:02Z</dcterms:created>
  <dcterms:modified xsi:type="dcterms:W3CDTF">2026-07-31T12:08:26Z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0x01010077D0FAFF44C5574989292B1DCD246781</vt:lpwstr>
  </property>
  <property fmtid="{D5CDD505-2E9C-101B-9397-08002B2CF9AE}" pid="3" name="MediaServiceImageTags">
    <vt:lpwstr/>
  </property>
</Properties>
</file>